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WebImage.xml" ContentType="application/vnd.ms-excel.rdrichvaluewebimage+xml"/>
  <Override PartName="/xl/richData/rdrichvalue.xml" ContentType="application/vnd.ms-excel.rdrichvalue+xml"/>
  <Override PartName="/xl/richData/rdrichvaluestructure.xml" ContentType="application/vnd.ms-excel.rdrichvaluestructure+xml"/>
  <Override PartName="/xl/richData/rdarray.xml" ContentType="application/vnd.ms-excel.rdarray+xml"/>
  <Override PartName="/xl/richData/richStyles.xml" ContentType="application/vnd.ms-excel.richstyles+xml"/>
  <Override PartName="/xl/richData/rdsupportingpropertybagstructure.xml" ContentType="application/vnd.ms-excel.rdsupportingpropertybagstructure+xml"/>
  <Override PartName="/xl/richData/rdsupportingpropertybag.xml" ContentType="application/vnd.ms-excel.rdsupportingpropertybag+xml"/>
  <Override PartName="/xl/richData/rdRichValueTypes.xml" ContentType="application/vnd.ms-excel.rdrichvaluetype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charts/chartEx1.xml" ContentType="application/vnd.ms-office.chartex+xml"/>
  <Override PartName="/xl/charts/style3.xml" ContentType="application/vnd.ms-office.chartstyle+xml"/>
  <Override PartName="/xl/charts/colors3.xml" ContentType="application/vnd.ms-office.chartcolorstyle+xml"/>
  <Override PartName="/xl/charts/chart3.xml" ContentType="application/vnd.openxmlformats-officedocument.drawingml.chart+xml"/>
  <Override PartName="/xl/charts/style4.xml" ContentType="application/vnd.ms-office.chartstyle+xml"/>
  <Override PartName="/xl/charts/colors4.xml" ContentType="application/vnd.ms-office.chartcolorstyle+xml"/>
  <Override PartName="/xl/charts/chart4.xml" ContentType="application/vnd.openxmlformats-officedocument.drawingml.chart+xml"/>
  <Override PartName="/xl/charts/style5.xml" ContentType="application/vnd.ms-office.chartstyle+xml"/>
  <Override PartName="/xl/charts/colors5.xml" ContentType="application/vnd.ms-office.chartcolorstyle+xml"/>
  <Override PartName="/xl/drawings/drawing4.xml" ContentType="application/vnd.openxmlformats-officedocument.drawing+xml"/>
  <Override PartName="/xl/charts/chartEx2.xml" ContentType="application/vnd.ms-office.chartex+xml"/>
  <Override PartName="/xl/charts/style6.xml" ContentType="application/vnd.ms-office.chartstyle+xml"/>
  <Override PartName="/xl/charts/colors6.xml" ContentType="application/vnd.ms-office.chartcolorstyle+xml"/>
  <Override PartName="/xl/charts/chartEx3.xml" ContentType="application/vnd.ms-office.chartex+xml"/>
  <Override PartName="/xl/charts/style7.xml" ContentType="application/vnd.ms-office.chartstyle+xml"/>
  <Override PartName="/xl/charts/colors7.xml" ContentType="application/vnd.ms-office.chartcolorstyle+xml"/>
  <Override PartName="/xl/charts/chart5.xml" ContentType="application/vnd.openxmlformats-officedocument.drawingml.chart+xml"/>
  <Override PartName="/xl/charts/style8.xml" ContentType="application/vnd.ms-office.chartstyle+xml"/>
  <Override PartName="/xl/charts/colors8.xml" ContentType="application/vnd.ms-office.chartcolorstyle+xml"/>
  <Override PartName="/xl/charts/chart6.xml" ContentType="application/vnd.openxmlformats-officedocument.drawingml.chart+xml"/>
  <Override PartName="/xl/charts/style9.xml" ContentType="application/vnd.ms-office.chartstyle+xml"/>
  <Override PartName="/xl/charts/colors9.xml" ContentType="application/vnd.ms-office.chartcolorstyle+xml"/>
  <Override PartName="/xl/drawings/drawing5.xml" ContentType="application/vnd.openxmlformats-officedocument.drawing+xml"/>
  <Override PartName="/xl/charts/chartEx4.xml" ContentType="application/vnd.ms-office.chartex+xml"/>
  <Override PartName="/xl/charts/style10.xml" ContentType="application/vnd.ms-office.chartstyle+xml"/>
  <Override PartName="/xl/charts/colors10.xml" ContentType="application/vnd.ms-office.chartcolorstyle+xml"/>
  <Override PartName="/xl/charts/chart7.xml" ContentType="application/vnd.openxmlformats-officedocument.drawingml.chart+xml"/>
  <Override PartName="/xl/charts/style11.xml" ContentType="application/vnd.ms-office.chartstyle+xml"/>
  <Override PartName="/xl/charts/colors11.xml" ContentType="application/vnd.ms-office.chartcolorstyle+xml"/>
  <Override PartName="/xl/charts/chart8.xml" ContentType="application/vnd.openxmlformats-officedocument.drawingml.chart+xml"/>
  <Override PartName="/xl/charts/style12.xml" ContentType="application/vnd.ms-office.chartstyle+xml"/>
  <Override PartName="/xl/charts/colors12.xml" ContentType="application/vnd.ms-office.chartcolorstyle+xml"/>
  <Override PartName="/xl/drawings/drawing6.xml" ContentType="application/vnd.openxmlformats-officedocument.drawing+xml"/>
  <Override PartName="/xl/charts/chartEx5.xml" ContentType="application/vnd.ms-office.chartex+xml"/>
  <Override PartName="/xl/charts/style13.xml" ContentType="application/vnd.ms-office.chartstyle+xml"/>
  <Override PartName="/xl/charts/colors13.xml" ContentType="application/vnd.ms-office.chartcolorstyle+xml"/>
  <Override PartName="/xl/drawings/drawing7.xml" ContentType="application/vnd.openxmlformats-officedocument.drawing+xml"/>
  <Override PartName="/xl/charts/chart9.xml" ContentType="application/vnd.openxmlformats-officedocument.drawingml.chart+xml"/>
  <Override PartName="/xl/charts/style14.xml" ContentType="application/vnd.ms-office.chartstyle+xml"/>
  <Override PartName="/xl/charts/colors14.xml" ContentType="application/vnd.ms-office.chartcolorstyle+xml"/>
  <Override PartName="/xl/charts/chart10.xml" ContentType="application/vnd.openxmlformats-officedocument.drawingml.chart+xml"/>
  <Override PartName="/xl/charts/style15.xml" ContentType="application/vnd.ms-office.chartstyle+xml"/>
  <Override PartName="/xl/charts/colors15.xml" ContentType="application/vnd.ms-office.chartcolorstyle+xml"/>
  <Override PartName="/xl/charts/chart11.xml" ContentType="application/vnd.openxmlformats-officedocument.drawingml.chart+xml"/>
  <Override PartName="/xl/charts/style16.xml" ContentType="application/vnd.ms-office.chartstyle+xml"/>
  <Override PartName="/xl/charts/colors16.xml" ContentType="application/vnd.ms-office.chartcolorstyle+xml"/>
  <Override PartName="/xl/drawings/drawing8.xml" ContentType="application/vnd.openxmlformats-officedocument.drawing+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9.xml" ContentType="application/vnd.openxmlformats-officedocument.drawing+xml"/>
  <Override PartName="/xl/diagrams/data1.xml" ContentType="application/vnd.openxmlformats-officedocument.drawingml.diagramData+xml"/>
  <Override PartName="/xl/diagrams/layout1.xml" ContentType="application/vnd.openxmlformats-officedocument.drawingml.diagramLayout+xml"/>
  <Override PartName="/xl/diagrams/quickStyle1.xml" ContentType="application/vnd.openxmlformats-officedocument.drawingml.diagramStyle+xml"/>
  <Override PartName="/xl/diagrams/colors1.xml" ContentType="application/vnd.openxmlformats-officedocument.drawingml.diagramColors+xml"/>
  <Override PartName="/xl/diagrams/drawing1.xml" ContentType="application/vnd.ms-office.drawingml.diagram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0512"/>
  <workbookPr codeName="ThisWorkbook" hidePivotFieldList="1" defaultThemeVersion="166925"/>
  <mc:AlternateContent xmlns:mc="http://schemas.openxmlformats.org/markup-compatibility/2006">
    <mc:Choice Requires="x15">
      <x15ac:absPath xmlns:x15ac="http://schemas.microsoft.com/office/spreadsheetml/2010/11/ac" url="/Users/gabriellebeaudin/Library/CloudStorage/GoogleDrive-gabrielle.beaudin.1@gmail.com/.shortcut-targets-by-id/1GmPGI5crIliUJsRGVaj4UBXy5eMjPdoU/Coût social du choix modal à Montréal/"/>
    </mc:Choice>
  </mc:AlternateContent>
  <xr:revisionPtr revIDLastSave="0" documentId="13_ncr:1_{F187FC6C-C86A-724D-8701-69A643FF8D3F}" xr6:coauthVersionLast="47" xr6:coauthVersionMax="47" xr10:uidLastSave="{00000000-0000-0000-0000-000000000000}"/>
  <bookViews>
    <workbookView xWindow="0" yWindow="500" windowWidth="25600" windowHeight="13820" firstSheet="16" activeTab="30" xr2:uid="{0FCBD97F-BD49-C04A-8C0C-2B7354D1C5A7}"/>
  </bookViews>
  <sheets>
    <sheet name="Bienvenue" sheetId="1" r:id="rId1"/>
    <sheet name="Table des matières" sheetId="15" r:id="rId2"/>
    <sheet name="Résultats finaux - PAR PERSONNE" sheetId="19" r:id="rId3"/>
    <sheet name="Auto - résumé" sheetId="109" r:id="rId4"/>
    <sheet name="Auto - export" sheetId="126" state="hidden" r:id="rId5"/>
    <sheet name="Auto - fixe" sheetId="131" state="hidden" r:id="rId6"/>
    <sheet name="TC - résumé" sheetId="111" r:id="rId7"/>
    <sheet name="TC - export" sheetId="127" state="hidden" r:id="rId8"/>
    <sheet name="TC - fixe" sheetId="132" state="hidden" r:id="rId9"/>
    <sheet name="Vélo - résumé" sheetId="112" r:id="rId10"/>
    <sheet name="Vélo - export" sheetId="128" state="hidden" r:id="rId11"/>
    <sheet name="Vélo - fixe" sheetId="133" state="hidden" r:id="rId12"/>
    <sheet name="Marche - résumé" sheetId="114" r:id="rId13"/>
    <sheet name="Marche - export" sheetId="129" state="hidden" r:id="rId14"/>
    <sheet name="Marche - fixe" sheetId="134" state="hidden" r:id="rId15"/>
    <sheet name="Résultats - comparaison" sheetId="135" r:id="rId16"/>
    <sheet name="Distributions de coûts - graphs" sheetId="123" r:id="rId17"/>
    <sheet name="Résultat - projection" sheetId="20" r:id="rId18"/>
    <sheet name="Clés de répartition" sheetId="7" r:id="rId19"/>
    <sheet name="Privé - Achat&amp;Utilisation" sheetId="3" r:id="rId20"/>
    <sheet name="Privé - Contravention" sheetId="16" r:id="rId21"/>
    <sheet name="Privé - Temps" sheetId="13" r:id="rId22"/>
    <sheet name="Privé - Permis, etc" sheetId="18" r:id="rId23"/>
    <sheet name="Privé&amp;Indirect - ARTM" sheetId="14" r:id="rId24"/>
    <sheet name="Indirect - Budget VdeM" sheetId="4" r:id="rId25"/>
    <sheet name="Indirect - Villes" sheetId="5" r:id="rId26"/>
    <sheet name="Indirect - Prov. &amp; Féd." sheetId="6" r:id="rId27"/>
    <sheet name="Caché - GES" sheetId="8" r:id="rId28"/>
    <sheet name="Caché - Congestion" sheetId="9" r:id="rId29"/>
    <sheet name="Caché - Santé" sheetId="10" r:id="rId30"/>
    <sheet name="Caché - Accident" sheetId="11" r:id="rId31"/>
    <sheet name="Caché - Emprise spatiale" sheetId="12" r:id="rId32"/>
    <sheet name="Fonctions" sheetId="136" state="hidden" r:id="rId33"/>
  </sheets>
  <definedNames>
    <definedName name="_xlchart.v6.0" hidden="1">'Auto - résumé'!$A$3</definedName>
    <definedName name="_xlchart.v6.1" hidden="1">'Auto - résumé'!$M$3</definedName>
    <definedName name="_xlchart.v6.10" hidden="1">('TC - résumé'!$A$4:$A$10,'TC - résumé'!$A$12:$A$18,'TC - résumé'!$A$20:$A$38)</definedName>
    <definedName name="_xlchart.v6.11" hidden="1">('TC - résumé'!$I$4:$I$10,'TC - résumé'!$I$12:$I$18,'TC - résumé'!$I$20:$I$38)</definedName>
    <definedName name="_xlchart.v6.12" hidden="1">'Vélo - résumé'!$A$3</definedName>
    <definedName name="_xlchart.v6.13" hidden="1">'Vélo - résumé'!$L$3</definedName>
    <definedName name="_xlchart.v6.14" hidden="1">('Vélo - résumé'!$A$4:$A$10,'Vélo - résumé'!$A$12:$A$18,'Vélo - résumé'!$A$20:$A$38)</definedName>
    <definedName name="_xlchart.v6.15" hidden="1">('Vélo - résumé'!$I$4:$I$10,'Vélo - résumé'!$I$12:$I$18,'Vélo - résumé'!$I$20:$I$38)</definedName>
    <definedName name="_xlchart.v6.16" hidden="1">'Marche - résumé'!$A$3</definedName>
    <definedName name="_xlchart.v6.17" hidden="1">'Marche - résumé'!$K$3</definedName>
    <definedName name="_xlchart.v6.18" hidden="1">('Marche - résumé'!$A$4:$A$10,'Marche - résumé'!$A$12:$A$18,'Marche - résumé'!$A$20:$A$38)</definedName>
    <definedName name="_xlchart.v6.19" hidden="1">('Marche - résumé'!$H$4:$H$10,'Marche - résumé'!$H$12:$H$18,'Marche - résumé'!$H$20:$H$38)</definedName>
    <definedName name="_xlchart.v6.2" hidden="1">('Auto - résumé'!$A$4:$A$10,'Auto - résumé'!$A$12:$A$18,'Auto - résumé'!$A$20:$A$38)</definedName>
    <definedName name="_xlchart.v6.3" hidden="1">('Auto - résumé'!$J$4:$J$10,'Auto - résumé'!$J$12:$J$18,'Auto - résumé'!$J$20:$J$38)</definedName>
    <definedName name="_xlchart.v6.4" hidden="1">'TC - résumé'!$A$3</definedName>
    <definedName name="_xlchart.v6.5" hidden="1">'TC - résumé'!$L$3</definedName>
    <definedName name="_xlchart.v6.6" hidden="1">('TC - résumé'!$A$4:$A$10,'TC - résumé'!$A$12:$A$18,'TC - résumé'!$A$20:$A$38)</definedName>
    <definedName name="_xlchart.v6.7" hidden="1">('TC - résumé'!$P$4:$P$10,'TC - résumé'!$P$12:$P$18,'TC - résumé'!$P$20:$P$38)</definedName>
    <definedName name="_xlchart.v6.8" hidden="1">'TC - résumé'!$A$3</definedName>
    <definedName name="_xlchart.v6.9" hidden="1">'TC - résumé'!$L$3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U50" i="7" l="1" a="1"/>
  <c r="U50" i="7" s="1"/>
  <c r="T50" i="7" a="1"/>
  <c r="T50" i="7" s="1"/>
  <c r="S50" i="7" a="1"/>
  <c r="S50" i="7" s="1"/>
  <c r="R50" i="7" a="1"/>
  <c r="R50" i="7" s="1"/>
  <c r="U58" i="7" a="1"/>
  <c r="U58" i="7" s="1"/>
  <c r="T58" i="7" a="1"/>
  <c r="T58" i="7" s="1"/>
  <c r="S58" i="7" a="1"/>
  <c r="S58" i="7" s="1"/>
  <c r="R58" i="7" a="1"/>
  <c r="R58" i="7" s="1"/>
  <c r="R51" i="7" a="1"/>
  <c r="R51" i="7" s="1"/>
  <c r="S51" i="7" a="1"/>
  <c r="S51" i="7"/>
  <c r="T51" i="7" a="1"/>
  <c r="T51" i="7" s="1"/>
  <c r="U51" i="7" a="1"/>
  <c r="U51" i="7" s="1"/>
  <c r="R52" i="7" a="1"/>
  <c r="R52" i="7" s="1"/>
  <c r="S52" i="7" a="1"/>
  <c r="S52" i="7" s="1"/>
  <c r="T52" i="7" a="1"/>
  <c r="T52" i="7" s="1"/>
  <c r="U52" i="7" a="1"/>
  <c r="U52" i="7" s="1"/>
  <c r="R53" i="7" a="1"/>
  <c r="R53" i="7" s="1"/>
  <c r="S53" i="7" a="1"/>
  <c r="S53" i="7" s="1"/>
  <c r="T53" i="7" a="1"/>
  <c r="T53" i="7" s="1"/>
  <c r="U53" i="7" a="1"/>
  <c r="U53" i="7" s="1"/>
  <c r="R54" i="7" a="1"/>
  <c r="R54" i="7" s="1"/>
  <c r="S54" i="7" a="1"/>
  <c r="S54" i="7" s="1"/>
  <c r="T54" i="7" a="1"/>
  <c r="T54" i="7" s="1"/>
  <c r="U54" i="7" a="1"/>
  <c r="U54" i="7" s="1"/>
  <c r="R55" i="7" a="1"/>
  <c r="R55" i="7" s="1"/>
  <c r="S55" i="7" a="1"/>
  <c r="S55" i="7" s="1"/>
  <c r="T55" i="7" a="1"/>
  <c r="T55" i="7" s="1"/>
  <c r="U55" i="7" a="1"/>
  <c r="U55" i="7" s="1"/>
  <c r="R56" i="7" a="1"/>
  <c r="R56" i="7" s="1"/>
  <c r="S56" i="7" a="1"/>
  <c r="S56" i="7" s="1"/>
  <c r="T56" i="7" a="1"/>
  <c r="T56" i="7" s="1"/>
  <c r="U56" i="7" a="1"/>
  <c r="U56" i="7" s="1"/>
  <c r="R57" i="7" a="1"/>
  <c r="R57" i="7" s="1"/>
  <c r="S57" i="7" a="1"/>
  <c r="S57" i="7" s="1"/>
  <c r="T57" i="7" a="1"/>
  <c r="T57" i="7" s="1"/>
  <c r="U57" i="7" a="1"/>
  <c r="U57" i="7" s="1"/>
  <c r="R59" i="7" a="1"/>
  <c r="R59" i="7" s="1"/>
  <c r="S59" i="7" a="1"/>
  <c r="S59" i="7" s="1"/>
  <c r="T59" i="7" a="1"/>
  <c r="T59" i="7" s="1"/>
  <c r="U59" i="7" a="1"/>
  <c r="U59" i="7" s="1"/>
  <c r="R60" i="7" a="1"/>
  <c r="R60" i="7" s="1"/>
  <c r="S60" i="7" a="1"/>
  <c r="S60" i="7" s="1"/>
  <c r="T60" i="7" a="1"/>
  <c r="T60" i="7" s="1"/>
  <c r="U60" i="7" a="1"/>
  <c r="U60" i="7" s="1"/>
  <c r="R61" i="7" a="1"/>
  <c r="R61" i="7" s="1"/>
  <c r="S61" i="7" a="1"/>
  <c r="S61" i="7" s="1"/>
  <c r="T61" i="7" a="1"/>
  <c r="T61" i="7" s="1"/>
  <c r="U61" i="7" a="1"/>
  <c r="U61" i="7" s="1"/>
  <c r="R62" i="7" a="1"/>
  <c r="R62" i="7" s="1"/>
  <c r="S62" i="7" a="1"/>
  <c r="S62" i="7" s="1"/>
  <c r="T62" i="7" a="1"/>
  <c r="T62" i="7" s="1"/>
  <c r="U62" i="7" a="1"/>
  <c r="U62" i="7" s="1"/>
  <c r="R63" i="7" a="1"/>
  <c r="R63" i="7" s="1"/>
  <c r="S63" i="7" a="1"/>
  <c r="S63" i="7" s="1"/>
  <c r="T63" i="7" a="1"/>
  <c r="T63" i="7" s="1"/>
  <c r="U63" i="7" a="1"/>
  <c r="U63" i="7" s="1"/>
  <c r="R64" i="7" a="1"/>
  <c r="R64" i="7" s="1"/>
  <c r="S64" i="7" a="1"/>
  <c r="S64" i="7" s="1"/>
  <c r="T64" i="7" a="1"/>
  <c r="T64" i="7" s="1"/>
  <c r="U64" i="7" a="1"/>
  <c r="U64" i="7" s="1"/>
  <c r="R65" i="7" a="1"/>
  <c r="R65" i="7" s="1"/>
  <c r="S65" i="7" a="1"/>
  <c r="S65" i="7" s="1"/>
  <c r="T65" i="7" a="1"/>
  <c r="T65" i="7" s="1"/>
  <c r="U65" i="7" a="1"/>
  <c r="U65" i="7" s="1"/>
  <c r="R67" i="7" a="1"/>
  <c r="R67" i="7" s="1"/>
  <c r="S67" i="7" a="1"/>
  <c r="S67" i="7" s="1"/>
  <c r="T67" i="7" a="1"/>
  <c r="T67" i="7" s="1"/>
  <c r="U67" i="7" a="1"/>
  <c r="U67" i="7" s="1"/>
  <c r="R68" i="7" a="1"/>
  <c r="R68" i="7" s="1"/>
  <c r="S68" i="7" a="1"/>
  <c r="S68" i="7" s="1"/>
  <c r="T68" i="7" a="1"/>
  <c r="T68" i="7" s="1"/>
  <c r="U68" i="7" a="1"/>
  <c r="U68" i="7" s="1"/>
  <c r="R69" i="7" a="1"/>
  <c r="R69" i="7" s="1"/>
  <c r="S69" i="7" a="1"/>
  <c r="S69" i="7" s="1"/>
  <c r="T69" i="7" a="1"/>
  <c r="T69" i="7" s="1"/>
  <c r="U69" i="7" a="1"/>
  <c r="U69" i="7" s="1"/>
  <c r="R70" i="7" a="1"/>
  <c r="R70" i="7" s="1"/>
  <c r="S70" i="7" a="1"/>
  <c r="S70" i="7" s="1"/>
  <c r="T70" i="7" a="1"/>
  <c r="T70" i="7" s="1"/>
  <c r="U70" i="7" a="1"/>
  <c r="U70" i="7" s="1"/>
  <c r="R71" i="7" a="1"/>
  <c r="R71" i="7" s="1"/>
  <c r="S71" i="7" a="1"/>
  <c r="S71" i="7" s="1"/>
  <c r="T71" i="7" a="1"/>
  <c r="T71" i="7" s="1"/>
  <c r="U71" i="7" a="1"/>
  <c r="U71" i="7" s="1"/>
  <c r="R72" i="7" a="1"/>
  <c r="R72" i="7" s="1"/>
  <c r="S72" i="7" a="1"/>
  <c r="S72" i="7" s="1"/>
  <c r="T72" i="7" a="1"/>
  <c r="T72" i="7" s="1"/>
  <c r="U72" i="7" a="1"/>
  <c r="U72" i="7" s="1"/>
  <c r="R73" i="7" a="1"/>
  <c r="R73" i="7" s="1"/>
  <c r="S73" i="7" a="1"/>
  <c r="S73" i="7" s="1"/>
  <c r="T73" i="7" a="1"/>
  <c r="T73" i="7" s="1"/>
  <c r="U73" i="7" a="1"/>
  <c r="U73" i="7" s="1"/>
  <c r="R74" i="7" a="1"/>
  <c r="R74" i="7" s="1"/>
  <c r="S74" i="7" a="1"/>
  <c r="S74" i="7" s="1"/>
  <c r="T74" i="7" a="1"/>
  <c r="T74" i="7" s="1"/>
  <c r="U74" i="7" a="1"/>
  <c r="U74" i="7" s="1"/>
  <c r="R75" i="7" a="1"/>
  <c r="R75" i="7" s="1"/>
  <c r="S75" i="7" a="1"/>
  <c r="S75" i="7" s="1"/>
  <c r="T75" i="7" a="1"/>
  <c r="T75" i="7" s="1"/>
  <c r="U75" i="7" a="1"/>
  <c r="U75" i="7" s="1"/>
  <c r="R76" i="7" a="1"/>
  <c r="R76" i="7" s="1"/>
  <c r="S76" i="7" a="1"/>
  <c r="S76" i="7" s="1"/>
  <c r="T76" i="7" a="1"/>
  <c r="T76" i="7" s="1"/>
  <c r="U76" i="7" a="1"/>
  <c r="U76" i="7" s="1"/>
  <c r="R77" i="7" a="1"/>
  <c r="R77" i="7" s="1"/>
  <c r="S77" i="7" a="1"/>
  <c r="S77" i="7" s="1"/>
  <c r="T77" i="7" a="1"/>
  <c r="T77" i="7" s="1"/>
  <c r="U77" i="7" a="1"/>
  <c r="U77" i="7" s="1"/>
  <c r="R78" i="7" a="1"/>
  <c r="R78" i="7" s="1"/>
  <c r="S78" i="7" a="1"/>
  <c r="S78" i="7" s="1"/>
  <c r="T78" i="7" a="1"/>
  <c r="T78" i="7" s="1"/>
  <c r="U78" i="7" a="1"/>
  <c r="U78" i="7" s="1"/>
  <c r="R79" i="7" a="1"/>
  <c r="R79" i="7" s="1"/>
  <c r="S79" i="7" a="1"/>
  <c r="S79" i="7" s="1"/>
  <c r="T79" i="7" a="1"/>
  <c r="T79" i="7" s="1"/>
  <c r="U79" i="7" a="1"/>
  <c r="U79" i="7" s="1"/>
  <c r="R80" i="7" a="1"/>
  <c r="R80" i="7" s="1"/>
  <c r="S80" i="7" a="1"/>
  <c r="S80" i="7" s="1"/>
  <c r="T80" i="7" a="1"/>
  <c r="T80" i="7" s="1"/>
  <c r="U80" i="7" a="1"/>
  <c r="U80" i="7" s="1"/>
  <c r="R81" i="7" a="1"/>
  <c r="R81" i="7" s="1"/>
  <c r="S81" i="7" a="1"/>
  <c r="S81" i="7" s="1"/>
  <c r="T81" i="7" a="1"/>
  <c r="T81" i="7" s="1"/>
  <c r="U81" i="7" a="1"/>
  <c r="U81" i="7" s="1"/>
  <c r="R82" i="7" a="1"/>
  <c r="R82" i="7" s="1"/>
  <c r="S82" i="7" a="1"/>
  <c r="S82" i="7" s="1"/>
  <c r="T82" i="7" a="1"/>
  <c r="T82" i="7" s="1"/>
  <c r="U82" i="7" a="1"/>
  <c r="U82" i="7" s="1"/>
  <c r="R83" i="7" a="1"/>
  <c r="R83" i="7" s="1"/>
  <c r="S83" i="7" a="1"/>
  <c r="S83" i="7" s="1"/>
  <c r="T83" i="7" a="1"/>
  <c r="T83" i="7" s="1"/>
  <c r="U83" i="7" a="1"/>
  <c r="U83" i="7" s="1"/>
  <c r="R84" i="7" a="1"/>
  <c r="R84" i="7" s="1"/>
  <c r="S84" i="7" a="1"/>
  <c r="S84" i="7" s="1"/>
  <c r="T84" i="7" a="1"/>
  <c r="T84" i="7" s="1"/>
  <c r="U84" i="7" a="1"/>
  <c r="U84" i="7" s="1"/>
  <c r="R85" i="7" a="1"/>
  <c r="R85" i="7" s="1"/>
  <c r="S85" i="7" a="1"/>
  <c r="S85" i="7" s="1"/>
  <c r="T85" i="7" a="1"/>
  <c r="T85" i="7" s="1"/>
  <c r="U85" i="7" a="1"/>
  <c r="U85" i="7" s="1"/>
  <c r="B28" i="136"/>
  <c r="B21" i="136"/>
  <c r="H52" i="11"/>
  <c r="C54" i="11"/>
  <c r="H51" i="11"/>
  <c r="E54" i="11"/>
  <c r="D54" i="11"/>
  <c r="E11" i="14"/>
  <c r="F170" i="20"/>
  <c r="F171" i="20"/>
  <c r="F172" i="20"/>
  <c r="F173" i="20"/>
  <c r="F174" i="20"/>
  <c r="F175" i="20"/>
  <c r="F176" i="20"/>
  <c r="F178" i="20"/>
  <c r="F179" i="20"/>
  <c r="F180" i="20"/>
  <c r="F181" i="20"/>
  <c r="F182" i="20"/>
  <c r="F183" i="20"/>
  <c r="F184" i="20"/>
  <c r="F186" i="20"/>
  <c r="F187" i="20"/>
  <c r="F188" i="20"/>
  <c r="F189" i="20"/>
  <c r="F190" i="20"/>
  <c r="F191" i="20"/>
  <c r="F192" i="20"/>
  <c r="F193" i="20"/>
  <c r="F194" i="20"/>
  <c r="F195" i="20"/>
  <c r="F196" i="20"/>
  <c r="F197" i="20"/>
  <c r="F198" i="20"/>
  <c r="F199" i="20"/>
  <c r="F200" i="20"/>
  <c r="F201" i="20"/>
  <c r="F202" i="20"/>
  <c r="F203" i="20"/>
  <c r="F204" i="20"/>
  <c r="F132" i="20"/>
  <c r="F133" i="20"/>
  <c r="F134" i="20"/>
  <c r="F135" i="20"/>
  <c r="F136" i="20"/>
  <c r="F137" i="20"/>
  <c r="F138" i="20"/>
  <c r="F140" i="20"/>
  <c r="F141" i="20"/>
  <c r="F142" i="20"/>
  <c r="F143" i="20"/>
  <c r="F144" i="20"/>
  <c r="F145" i="20"/>
  <c r="F146" i="20"/>
  <c r="F148" i="20"/>
  <c r="F149" i="20"/>
  <c r="F150" i="20"/>
  <c r="F151" i="20"/>
  <c r="F152" i="20"/>
  <c r="F153" i="20"/>
  <c r="F154" i="20"/>
  <c r="F155" i="20"/>
  <c r="F156" i="20"/>
  <c r="F157" i="20"/>
  <c r="F158" i="20"/>
  <c r="F159" i="20"/>
  <c r="F160" i="20"/>
  <c r="F161" i="20"/>
  <c r="F162" i="20"/>
  <c r="F163" i="20"/>
  <c r="F164" i="20"/>
  <c r="F165" i="20"/>
  <c r="F166" i="20"/>
  <c r="F51" i="7"/>
  <c r="G8" i="7" s="1"/>
  <c r="F52" i="7"/>
  <c r="G9" i="7" s="1"/>
  <c r="F53" i="7"/>
  <c r="G10" i="7" s="1"/>
  <c r="F54" i="7"/>
  <c r="G11" i="7" s="1"/>
  <c r="F55" i="7"/>
  <c r="G12" i="7" s="1"/>
  <c r="F56" i="7"/>
  <c r="G13" i="7" s="1"/>
  <c r="F57" i="7"/>
  <c r="G14" i="7" s="1"/>
  <c r="F59" i="7"/>
  <c r="G16" i="7" s="1"/>
  <c r="F60" i="7"/>
  <c r="G17" i="7" s="1"/>
  <c r="F61" i="7"/>
  <c r="G18" i="7" s="1"/>
  <c r="F62" i="7"/>
  <c r="G19" i="7" s="1"/>
  <c r="F63" i="7"/>
  <c r="G20" i="7" s="1"/>
  <c r="F64" i="7"/>
  <c r="G21" i="7" s="1"/>
  <c r="F65" i="7"/>
  <c r="G22" i="7" s="1"/>
  <c r="F67" i="7"/>
  <c r="G24" i="7" s="1"/>
  <c r="F68" i="7"/>
  <c r="G25" i="7" s="1"/>
  <c r="F69" i="7"/>
  <c r="G26" i="7" s="1"/>
  <c r="F70" i="7"/>
  <c r="G27" i="7" s="1"/>
  <c r="F71" i="7"/>
  <c r="G28" i="7" s="1"/>
  <c r="F72" i="7"/>
  <c r="G29" i="7" s="1"/>
  <c r="F73" i="7"/>
  <c r="G30" i="7" s="1"/>
  <c r="F74" i="7"/>
  <c r="G31" i="7" s="1"/>
  <c r="F75" i="7"/>
  <c r="G32" i="7" s="1"/>
  <c r="F76" i="7"/>
  <c r="G33" i="7" s="1"/>
  <c r="F77" i="7"/>
  <c r="G34" i="7" s="1"/>
  <c r="F78" i="7"/>
  <c r="G35" i="7" s="1"/>
  <c r="F79" i="7"/>
  <c r="G36" i="7" s="1"/>
  <c r="F80" i="7"/>
  <c r="G37" i="7" s="1"/>
  <c r="F81" i="7"/>
  <c r="G38" i="7" s="1"/>
  <c r="F82" i="7"/>
  <c r="G39" i="7" s="1"/>
  <c r="F83" i="7"/>
  <c r="G40" i="7" s="1"/>
  <c r="F84" i="7"/>
  <c r="G41" i="7" s="1"/>
  <c r="F85" i="7"/>
  <c r="G42" i="7" s="1"/>
  <c r="G69" i="12"/>
  <c r="D69" i="12"/>
  <c r="C69" i="12"/>
  <c r="G61" i="12"/>
  <c r="F61" i="12"/>
  <c r="F69" i="12"/>
  <c r="G62" i="12"/>
  <c r="G63" i="12"/>
  <c r="G64" i="12"/>
  <c r="G65" i="12"/>
  <c r="G66" i="12"/>
  <c r="G67" i="12"/>
  <c r="G68" i="12"/>
  <c r="G70" i="12"/>
  <c r="G71" i="12"/>
  <c r="G72" i="12"/>
  <c r="G73" i="12"/>
  <c r="G74" i="12"/>
  <c r="G75" i="12"/>
  <c r="G76" i="12"/>
  <c r="G78" i="12"/>
  <c r="G79" i="12"/>
  <c r="G80" i="12"/>
  <c r="G81" i="12"/>
  <c r="G82" i="12"/>
  <c r="G83" i="12"/>
  <c r="G84" i="12"/>
  <c r="G85" i="12"/>
  <c r="G86" i="12"/>
  <c r="G87" i="12"/>
  <c r="G88" i="12"/>
  <c r="G89" i="12"/>
  <c r="G90" i="12"/>
  <c r="G91" i="12"/>
  <c r="G92" i="12"/>
  <c r="G93" i="12"/>
  <c r="G94" i="12"/>
  <c r="G95" i="12"/>
  <c r="G96" i="12"/>
  <c r="E70" i="12"/>
  <c r="C29" i="11"/>
  <c r="D29" i="11"/>
  <c r="E29" i="11"/>
  <c r="B29" i="11"/>
  <c r="B32" i="11"/>
  <c r="B31" i="11"/>
  <c r="D30" i="11"/>
  <c r="C30" i="11"/>
  <c r="B30" i="11"/>
  <c r="M8" i="8"/>
  <c r="K9" i="8"/>
  <c r="L9" i="8"/>
  <c r="L10" i="8" s="1"/>
  <c r="J9" i="8"/>
  <c r="B37" i="14"/>
  <c r="C37" i="14" s="1"/>
  <c r="D37" i="14" s="1"/>
  <c r="B34" i="14"/>
  <c r="B93" i="14"/>
  <c r="F84" i="14"/>
  <c r="G73" i="14" s="1"/>
  <c r="D108" i="14"/>
  <c r="D110" i="14" s="1"/>
  <c r="E98" i="14"/>
  <c r="B35" i="14" s="1"/>
  <c r="B110" i="14"/>
  <c r="D101" i="14"/>
  <c r="B101" i="14"/>
  <c r="B23" i="14"/>
  <c r="B22" i="14"/>
  <c r="B21" i="14"/>
  <c r="D27" i="14"/>
  <c r="B25" i="14"/>
  <c r="B20" i="14"/>
  <c r="B82" i="14"/>
  <c r="E75" i="14" s="1"/>
  <c r="B16" i="14"/>
  <c r="B15" i="14"/>
  <c r="B12" i="14"/>
  <c r="B11" i="14"/>
  <c r="D62" i="14"/>
  <c r="D44" i="14" s="1"/>
  <c r="D47" i="14" s="1"/>
  <c r="B13" i="14"/>
  <c r="C25" i="14" s="1"/>
  <c r="B62" i="14"/>
  <c r="B44" i="14" s="1"/>
  <c r="B47" i="14" s="1"/>
  <c r="D58" i="14"/>
  <c r="B58" i="14"/>
  <c r="I6" i="18"/>
  <c r="M6" i="18"/>
  <c r="K6" i="18"/>
  <c r="E173" i="4"/>
  <c r="F173" i="4"/>
  <c r="B51" i="7"/>
  <c r="C51" i="7"/>
  <c r="D51" i="7"/>
  <c r="E51" i="7"/>
  <c r="B52" i="7"/>
  <c r="C52" i="7"/>
  <c r="D52" i="7"/>
  <c r="E52" i="7"/>
  <c r="B53" i="7"/>
  <c r="C53" i="7"/>
  <c r="D53" i="7"/>
  <c r="E53" i="7"/>
  <c r="C54" i="7"/>
  <c r="D54" i="7"/>
  <c r="E54" i="7"/>
  <c r="B55" i="7"/>
  <c r="C55" i="7"/>
  <c r="D55" i="7"/>
  <c r="E55" i="7"/>
  <c r="B56" i="7"/>
  <c r="C56" i="7"/>
  <c r="D56" i="7"/>
  <c r="E56" i="7"/>
  <c r="B57" i="7"/>
  <c r="C57" i="7"/>
  <c r="D57" i="7"/>
  <c r="E57" i="7"/>
  <c r="B59" i="7"/>
  <c r="C59" i="7"/>
  <c r="D59" i="7"/>
  <c r="E59" i="7"/>
  <c r="B60" i="7"/>
  <c r="C60" i="7"/>
  <c r="D60" i="7"/>
  <c r="E60" i="7"/>
  <c r="B61" i="7"/>
  <c r="C61" i="7"/>
  <c r="D61" i="7"/>
  <c r="E61" i="7"/>
  <c r="C62" i="7"/>
  <c r="D62" i="7"/>
  <c r="E62" i="7"/>
  <c r="B63" i="7"/>
  <c r="C63" i="7"/>
  <c r="D63" i="7"/>
  <c r="E63" i="7"/>
  <c r="B64" i="7"/>
  <c r="C64" i="7"/>
  <c r="D64" i="7"/>
  <c r="E64" i="7"/>
  <c r="B65" i="7"/>
  <c r="C65" i="7"/>
  <c r="D65" i="7"/>
  <c r="E65" i="7"/>
  <c r="B67" i="7"/>
  <c r="C67" i="7"/>
  <c r="D67" i="7"/>
  <c r="E67" i="7"/>
  <c r="B68" i="7"/>
  <c r="C68" i="7"/>
  <c r="D68" i="7"/>
  <c r="E68" i="7"/>
  <c r="B69" i="7"/>
  <c r="C69" i="7"/>
  <c r="D69" i="7"/>
  <c r="E69" i="7"/>
  <c r="C70" i="7"/>
  <c r="D70" i="7"/>
  <c r="E70" i="7"/>
  <c r="B71" i="7"/>
  <c r="C71" i="7"/>
  <c r="D71" i="7"/>
  <c r="E71" i="7"/>
  <c r="B72" i="7"/>
  <c r="C72" i="7"/>
  <c r="D72" i="7"/>
  <c r="E72" i="7"/>
  <c r="B73" i="7"/>
  <c r="C73" i="7"/>
  <c r="D73" i="7"/>
  <c r="E73" i="7"/>
  <c r="C74" i="7"/>
  <c r="D74" i="7"/>
  <c r="E74" i="7"/>
  <c r="B75" i="7"/>
  <c r="C75" i="7"/>
  <c r="D75" i="7"/>
  <c r="E75" i="7"/>
  <c r="B76" i="7"/>
  <c r="C76" i="7"/>
  <c r="D76" i="7"/>
  <c r="E76" i="7"/>
  <c r="B77" i="7"/>
  <c r="C77" i="7"/>
  <c r="D77" i="7"/>
  <c r="E77" i="7"/>
  <c r="B78" i="7"/>
  <c r="C78" i="7"/>
  <c r="D78" i="7"/>
  <c r="E78" i="7"/>
  <c r="B79" i="7"/>
  <c r="C79" i="7"/>
  <c r="D79" i="7"/>
  <c r="E79" i="7"/>
  <c r="B80" i="7"/>
  <c r="C80" i="7"/>
  <c r="D80" i="7"/>
  <c r="E80" i="7"/>
  <c r="B81" i="7"/>
  <c r="C81" i="7"/>
  <c r="D81" i="7"/>
  <c r="E81" i="7"/>
  <c r="B82" i="7"/>
  <c r="C82" i="7"/>
  <c r="D82" i="7"/>
  <c r="E82" i="7"/>
  <c r="B83" i="7"/>
  <c r="C83" i="7"/>
  <c r="D83" i="7"/>
  <c r="E83" i="7"/>
  <c r="B84" i="7"/>
  <c r="C84" i="7"/>
  <c r="D84" i="7"/>
  <c r="E84" i="7"/>
  <c r="B85" i="7"/>
  <c r="C85" i="7"/>
  <c r="D85" i="7"/>
  <c r="E85" i="7"/>
  <c r="E170" i="20"/>
  <c r="E171" i="20"/>
  <c r="E172" i="20"/>
  <c r="E173" i="20"/>
  <c r="E174" i="20"/>
  <c r="E175" i="20"/>
  <c r="E176" i="20"/>
  <c r="E178" i="20"/>
  <c r="E179" i="20"/>
  <c r="E180" i="20"/>
  <c r="E181" i="20"/>
  <c r="E182" i="20"/>
  <c r="E183" i="20"/>
  <c r="E184" i="20"/>
  <c r="E186" i="20"/>
  <c r="E187" i="20"/>
  <c r="E188" i="20"/>
  <c r="E189" i="20"/>
  <c r="E190" i="20"/>
  <c r="E191" i="20"/>
  <c r="E192" i="20"/>
  <c r="E193" i="20"/>
  <c r="E194" i="20"/>
  <c r="E195" i="20"/>
  <c r="E196" i="20"/>
  <c r="E197" i="20"/>
  <c r="E198" i="20"/>
  <c r="E199" i="20"/>
  <c r="E200" i="20"/>
  <c r="E201" i="20"/>
  <c r="E202" i="20"/>
  <c r="E203" i="20"/>
  <c r="E204" i="20"/>
  <c r="E19" i="3"/>
  <c r="E20" i="3"/>
  <c r="E21" i="3"/>
  <c r="E22" i="3"/>
  <c r="E23" i="3"/>
  <c r="E24" i="3"/>
  <c r="E25" i="3"/>
  <c r="E27" i="3"/>
  <c r="E28" i="3"/>
  <c r="E29" i="3"/>
  <c r="E30" i="3"/>
  <c r="E31" i="3"/>
  <c r="E32" i="3"/>
  <c r="E33" i="3"/>
  <c r="E35" i="3"/>
  <c r="E36" i="3"/>
  <c r="E37" i="3"/>
  <c r="E38" i="3"/>
  <c r="E39" i="3"/>
  <c r="E40" i="3"/>
  <c r="E41" i="3"/>
  <c r="E42" i="3"/>
  <c r="E43" i="3"/>
  <c r="E44" i="3"/>
  <c r="E45" i="3"/>
  <c r="E46" i="3"/>
  <c r="E47" i="3"/>
  <c r="E48" i="3"/>
  <c r="E49" i="3"/>
  <c r="E50" i="3"/>
  <c r="E51" i="3"/>
  <c r="E52" i="3"/>
  <c r="E53" i="3"/>
  <c r="F255" i="7"/>
  <c r="C9" i="6" s="1"/>
  <c r="D45" i="6"/>
  <c r="D46" i="6"/>
  <c r="D47" i="6"/>
  <c r="D44" i="6"/>
  <c r="C40" i="6"/>
  <c r="C41" i="6"/>
  <c r="F71" i="4"/>
  <c r="F79" i="4"/>
  <c r="F87" i="4"/>
  <c r="F95" i="4"/>
  <c r="F103" i="4"/>
  <c r="F108" i="4"/>
  <c r="F111" i="4"/>
  <c r="F113" i="4"/>
  <c r="F116" i="4"/>
  <c r="F119" i="4"/>
  <c r="F121" i="4"/>
  <c r="F124" i="4"/>
  <c r="F127" i="4"/>
  <c r="F129" i="4"/>
  <c r="F132" i="4"/>
  <c r="F135" i="4"/>
  <c r="F137" i="4"/>
  <c r="F140" i="4"/>
  <c r="F143" i="4"/>
  <c r="F46" i="4"/>
  <c r="F40" i="4"/>
  <c r="F49" i="4" s="1"/>
  <c r="F41" i="4"/>
  <c r="F42" i="4"/>
  <c r="F39" i="4"/>
  <c r="E35" i="4"/>
  <c r="E36" i="4"/>
  <c r="G54" i="4" s="1"/>
  <c r="E38" i="4"/>
  <c r="E34" i="4"/>
  <c r="C7" i="3"/>
  <c r="C9" i="3" s="1"/>
  <c r="D4" i="128" s="1"/>
  <c r="C24" i="6"/>
  <c r="B94" i="7"/>
  <c r="C3" i="126" s="1"/>
  <c r="C94" i="7"/>
  <c r="C3" i="127" s="1"/>
  <c r="D94" i="7"/>
  <c r="C3" i="128" s="1"/>
  <c r="E94" i="7"/>
  <c r="C3" i="129" s="1"/>
  <c r="F94" i="7"/>
  <c r="B3" i="126" s="1"/>
  <c r="G94" i="7"/>
  <c r="B3" i="127" s="1"/>
  <c r="H94" i="7"/>
  <c r="B3" i="128" s="1"/>
  <c r="I94" i="7"/>
  <c r="B3" i="129" s="1"/>
  <c r="J94" i="7"/>
  <c r="D3" i="126" s="1"/>
  <c r="B95" i="7"/>
  <c r="C4" i="126" s="1"/>
  <c r="C95" i="7"/>
  <c r="C4" i="127" s="1"/>
  <c r="D95" i="7"/>
  <c r="C4" i="128" s="1"/>
  <c r="E95" i="7"/>
  <c r="C4" i="129" s="1"/>
  <c r="F95" i="7"/>
  <c r="B4" i="126" s="1"/>
  <c r="G95" i="7"/>
  <c r="B4" i="127" s="1"/>
  <c r="H95" i="7"/>
  <c r="B4" i="128" s="1"/>
  <c r="I95" i="7"/>
  <c r="B4" i="129" s="1"/>
  <c r="J95" i="7"/>
  <c r="D4" i="126" s="1"/>
  <c r="B96" i="7"/>
  <c r="C5" i="126" s="1"/>
  <c r="C96" i="7"/>
  <c r="C5" i="127" s="1"/>
  <c r="D96" i="7"/>
  <c r="C5" i="128" s="1"/>
  <c r="E96" i="7"/>
  <c r="C5" i="129" s="1"/>
  <c r="F96" i="7"/>
  <c r="B5" i="126" s="1"/>
  <c r="G96" i="7"/>
  <c r="B5" i="127" s="1"/>
  <c r="H96" i="7"/>
  <c r="B5" i="128" s="1"/>
  <c r="I96" i="7"/>
  <c r="B5" i="129" s="1"/>
  <c r="J96" i="7"/>
  <c r="D5" i="126" s="1"/>
  <c r="B97" i="7"/>
  <c r="C6" i="126" s="1"/>
  <c r="C97" i="7"/>
  <c r="C6" i="127" s="1"/>
  <c r="D97" i="7"/>
  <c r="C6" i="128" s="1"/>
  <c r="E97" i="7"/>
  <c r="C6" i="129" s="1"/>
  <c r="F97" i="7"/>
  <c r="B6" i="126" s="1"/>
  <c r="G97" i="7"/>
  <c r="B6" i="127" s="1"/>
  <c r="H97" i="7"/>
  <c r="B6" i="128" s="1"/>
  <c r="I97" i="7"/>
  <c r="B6" i="129" s="1"/>
  <c r="J97" i="7"/>
  <c r="D6" i="126" s="1"/>
  <c r="B98" i="7"/>
  <c r="C7" i="126" s="1"/>
  <c r="C98" i="7"/>
  <c r="C7" i="127" s="1"/>
  <c r="D98" i="7"/>
  <c r="C7" i="128" s="1"/>
  <c r="E98" i="7"/>
  <c r="C7" i="129" s="1"/>
  <c r="F98" i="7"/>
  <c r="B7" i="126" s="1"/>
  <c r="G98" i="7"/>
  <c r="B7" i="127" s="1"/>
  <c r="H98" i="7"/>
  <c r="B7" i="128" s="1"/>
  <c r="I98" i="7"/>
  <c r="B7" i="129" s="1"/>
  <c r="J98" i="7"/>
  <c r="D7" i="126" s="1"/>
  <c r="B99" i="7"/>
  <c r="C8" i="126" s="1"/>
  <c r="C99" i="7"/>
  <c r="C8" i="127" s="1"/>
  <c r="D99" i="7"/>
  <c r="C8" i="128" s="1"/>
  <c r="E99" i="7"/>
  <c r="C8" i="129" s="1"/>
  <c r="F99" i="7"/>
  <c r="B8" i="126" s="1"/>
  <c r="G99" i="7"/>
  <c r="B8" i="127" s="1"/>
  <c r="H99" i="7"/>
  <c r="B8" i="128" s="1"/>
  <c r="I99" i="7"/>
  <c r="B8" i="129" s="1"/>
  <c r="J99" i="7"/>
  <c r="D8" i="126" s="1"/>
  <c r="B100" i="7"/>
  <c r="C9" i="126" s="1"/>
  <c r="C100" i="7"/>
  <c r="C9" i="127" s="1"/>
  <c r="D100" i="7"/>
  <c r="C9" i="128" s="1"/>
  <c r="E100" i="7"/>
  <c r="C9" i="129" s="1"/>
  <c r="F100" i="7"/>
  <c r="B9" i="126" s="1"/>
  <c r="G100" i="7"/>
  <c r="B9" i="127" s="1"/>
  <c r="H100" i="7"/>
  <c r="B9" i="128" s="1"/>
  <c r="I100" i="7"/>
  <c r="B9" i="129" s="1"/>
  <c r="J100" i="7"/>
  <c r="D9" i="126" s="1"/>
  <c r="B102" i="7"/>
  <c r="C11" i="126" s="1"/>
  <c r="C102" i="7"/>
  <c r="C11" i="127" s="1"/>
  <c r="D102" i="7"/>
  <c r="C11" i="128" s="1"/>
  <c r="E102" i="7"/>
  <c r="C11" i="129" s="1"/>
  <c r="F102" i="7"/>
  <c r="B11" i="126" s="1"/>
  <c r="G102" i="7"/>
  <c r="B11" i="127" s="1"/>
  <c r="H102" i="7"/>
  <c r="B11" i="128" s="1"/>
  <c r="I102" i="7"/>
  <c r="B11" i="129" s="1"/>
  <c r="J102" i="7"/>
  <c r="D11" i="126" s="1"/>
  <c r="B103" i="7"/>
  <c r="C12" i="126" s="1"/>
  <c r="C103" i="7"/>
  <c r="C12" i="127" s="1"/>
  <c r="D103" i="7"/>
  <c r="C12" i="128" s="1"/>
  <c r="E103" i="7"/>
  <c r="C12" i="129" s="1"/>
  <c r="F103" i="7"/>
  <c r="B12" i="126" s="1"/>
  <c r="G103" i="7"/>
  <c r="B12" i="127" s="1"/>
  <c r="H103" i="7"/>
  <c r="B12" i="128" s="1"/>
  <c r="I103" i="7"/>
  <c r="B12" i="129" s="1"/>
  <c r="J103" i="7"/>
  <c r="D12" i="126" s="1"/>
  <c r="B104" i="7"/>
  <c r="C13" i="126" s="1"/>
  <c r="C104" i="7"/>
  <c r="C13" i="127" s="1"/>
  <c r="D104" i="7"/>
  <c r="C13" i="128" s="1"/>
  <c r="E104" i="7"/>
  <c r="C13" i="129" s="1"/>
  <c r="F104" i="7"/>
  <c r="B13" i="126" s="1"/>
  <c r="G104" i="7"/>
  <c r="B13" i="127" s="1"/>
  <c r="H104" i="7"/>
  <c r="B13" i="128" s="1"/>
  <c r="I104" i="7"/>
  <c r="B13" i="129" s="1"/>
  <c r="J104" i="7"/>
  <c r="D13" i="126" s="1"/>
  <c r="B105" i="7"/>
  <c r="C14" i="126" s="1"/>
  <c r="C105" i="7"/>
  <c r="C14" i="127" s="1"/>
  <c r="D105" i="7"/>
  <c r="C14" i="128" s="1"/>
  <c r="E105" i="7"/>
  <c r="C14" i="129" s="1"/>
  <c r="F105" i="7"/>
  <c r="B14" i="126" s="1"/>
  <c r="G105" i="7"/>
  <c r="B14" i="127" s="1"/>
  <c r="H105" i="7"/>
  <c r="B14" i="128" s="1"/>
  <c r="I105" i="7"/>
  <c r="B14" i="129" s="1"/>
  <c r="J105" i="7"/>
  <c r="D14" i="126" s="1"/>
  <c r="B106" i="7"/>
  <c r="C15" i="126" s="1"/>
  <c r="C106" i="7"/>
  <c r="C15" i="127" s="1"/>
  <c r="D106" i="7"/>
  <c r="C15" i="128" s="1"/>
  <c r="E106" i="7"/>
  <c r="C15" i="129" s="1"/>
  <c r="F106" i="7"/>
  <c r="B15" i="126" s="1"/>
  <c r="G106" i="7"/>
  <c r="B15" i="127" s="1"/>
  <c r="H106" i="7"/>
  <c r="B15" i="128" s="1"/>
  <c r="I106" i="7"/>
  <c r="B15" i="129" s="1"/>
  <c r="J106" i="7"/>
  <c r="D15" i="126" s="1"/>
  <c r="B107" i="7"/>
  <c r="C16" i="126" s="1"/>
  <c r="C107" i="7"/>
  <c r="C16" i="127" s="1"/>
  <c r="D107" i="7"/>
  <c r="C16" i="128" s="1"/>
  <c r="E107" i="7"/>
  <c r="C16" i="129" s="1"/>
  <c r="F107" i="7"/>
  <c r="B16" i="126" s="1"/>
  <c r="G107" i="7"/>
  <c r="B16" i="127" s="1"/>
  <c r="H107" i="7"/>
  <c r="B16" i="128" s="1"/>
  <c r="I107" i="7"/>
  <c r="B16" i="129" s="1"/>
  <c r="J107" i="7"/>
  <c r="D16" i="126" s="1"/>
  <c r="B108" i="7"/>
  <c r="C17" i="126" s="1"/>
  <c r="C108" i="7"/>
  <c r="C17" i="127" s="1"/>
  <c r="D108" i="7"/>
  <c r="C17" i="128" s="1"/>
  <c r="E108" i="7"/>
  <c r="C17" i="129" s="1"/>
  <c r="F108" i="7"/>
  <c r="B17" i="126" s="1"/>
  <c r="G108" i="7"/>
  <c r="B17" i="127" s="1"/>
  <c r="H108" i="7"/>
  <c r="B17" i="128" s="1"/>
  <c r="I108" i="7"/>
  <c r="B17" i="129" s="1"/>
  <c r="J108" i="7"/>
  <c r="D17" i="126" s="1"/>
  <c r="B110" i="7"/>
  <c r="C18" i="126" s="1"/>
  <c r="C110" i="7"/>
  <c r="C18" i="127" s="1"/>
  <c r="D110" i="7"/>
  <c r="C18" i="128" s="1"/>
  <c r="E110" i="7"/>
  <c r="C18" i="129" s="1"/>
  <c r="F110" i="7"/>
  <c r="B18" i="126" s="1"/>
  <c r="G110" i="7"/>
  <c r="B18" i="127" s="1"/>
  <c r="H110" i="7"/>
  <c r="B18" i="128" s="1"/>
  <c r="I110" i="7"/>
  <c r="B18" i="129" s="1"/>
  <c r="J110" i="7"/>
  <c r="D18" i="126" s="1"/>
  <c r="B111" i="7"/>
  <c r="C19" i="126" s="1"/>
  <c r="C111" i="7"/>
  <c r="C19" i="127" s="1"/>
  <c r="D111" i="7"/>
  <c r="C19" i="128" s="1"/>
  <c r="E111" i="7"/>
  <c r="C19" i="129" s="1"/>
  <c r="F111" i="7"/>
  <c r="B19" i="126" s="1"/>
  <c r="G111" i="7"/>
  <c r="B19" i="127" s="1"/>
  <c r="H111" i="7"/>
  <c r="B19" i="128" s="1"/>
  <c r="I111" i="7"/>
  <c r="B19" i="129" s="1"/>
  <c r="J111" i="7"/>
  <c r="D19" i="126" s="1"/>
  <c r="B112" i="7"/>
  <c r="C20" i="126" s="1"/>
  <c r="C112" i="7"/>
  <c r="C20" i="127" s="1"/>
  <c r="D112" i="7"/>
  <c r="C20" i="128" s="1"/>
  <c r="E112" i="7"/>
  <c r="C20" i="129" s="1"/>
  <c r="F112" i="7"/>
  <c r="B20" i="126" s="1"/>
  <c r="G112" i="7"/>
  <c r="B20" i="127" s="1"/>
  <c r="H112" i="7"/>
  <c r="B20" i="128" s="1"/>
  <c r="I112" i="7"/>
  <c r="B20" i="129" s="1"/>
  <c r="J112" i="7"/>
  <c r="D20" i="126" s="1"/>
  <c r="B113" i="7"/>
  <c r="C21" i="126" s="1"/>
  <c r="C113" i="7"/>
  <c r="C21" i="127" s="1"/>
  <c r="D113" i="7"/>
  <c r="C21" i="128" s="1"/>
  <c r="E113" i="7"/>
  <c r="C21" i="129" s="1"/>
  <c r="F113" i="7"/>
  <c r="B21" i="126" s="1"/>
  <c r="G113" i="7"/>
  <c r="B21" i="127" s="1"/>
  <c r="H113" i="7"/>
  <c r="B21" i="128" s="1"/>
  <c r="I113" i="7"/>
  <c r="B21" i="129" s="1"/>
  <c r="J113" i="7"/>
  <c r="D21" i="126" s="1"/>
  <c r="B114" i="7"/>
  <c r="C22" i="126" s="1"/>
  <c r="C114" i="7"/>
  <c r="C22" i="127" s="1"/>
  <c r="D114" i="7"/>
  <c r="C22" i="128" s="1"/>
  <c r="E114" i="7"/>
  <c r="C22" i="129" s="1"/>
  <c r="F114" i="7"/>
  <c r="B22" i="126" s="1"/>
  <c r="G114" i="7"/>
  <c r="B22" i="127" s="1"/>
  <c r="H114" i="7"/>
  <c r="B22" i="128" s="1"/>
  <c r="I114" i="7"/>
  <c r="B22" i="129" s="1"/>
  <c r="J114" i="7"/>
  <c r="D22" i="126" s="1"/>
  <c r="B115" i="7"/>
  <c r="C23" i="126" s="1"/>
  <c r="C115" i="7"/>
  <c r="C23" i="127" s="1"/>
  <c r="D115" i="7"/>
  <c r="C23" i="128" s="1"/>
  <c r="E115" i="7"/>
  <c r="C23" i="129" s="1"/>
  <c r="F115" i="7"/>
  <c r="B23" i="126" s="1"/>
  <c r="G115" i="7"/>
  <c r="B23" i="127" s="1"/>
  <c r="H115" i="7"/>
  <c r="B23" i="128" s="1"/>
  <c r="I115" i="7"/>
  <c r="B23" i="129" s="1"/>
  <c r="J115" i="7"/>
  <c r="D23" i="126" s="1"/>
  <c r="B116" i="7"/>
  <c r="C24" i="126" s="1"/>
  <c r="C116" i="7"/>
  <c r="C24" i="127" s="1"/>
  <c r="D116" i="7"/>
  <c r="C24" i="128" s="1"/>
  <c r="E116" i="7"/>
  <c r="C24" i="129" s="1"/>
  <c r="F116" i="7"/>
  <c r="B24" i="126" s="1"/>
  <c r="G116" i="7"/>
  <c r="B24" i="127" s="1"/>
  <c r="H116" i="7"/>
  <c r="B24" i="128" s="1"/>
  <c r="I116" i="7"/>
  <c r="B24" i="129" s="1"/>
  <c r="J116" i="7"/>
  <c r="D24" i="126" s="1"/>
  <c r="B117" i="7"/>
  <c r="C25" i="126" s="1"/>
  <c r="C117" i="7"/>
  <c r="C25" i="127" s="1"/>
  <c r="D117" i="7"/>
  <c r="C25" i="128" s="1"/>
  <c r="E117" i="7"/>
  <c r="C25" i="129" s="1"/>
  <c r="F117" i="7"/>
  <c r="B25" i="126" s="1"/>
  <c r="G117" i="7"/>
  <c r="B25" i="127" s="1"/>
  <c r="H117" i="7"/>
  <c r="B25" i="128" s="1"/>
  <c r="I117" i="7"/>
  <c r="B25" i="129" s="1"/>
  <c r="J117" i="7"/>
  <c r="D25" i="126" s="1"/>
  <c r="B118" i="7"/>
  <c r="C26" i="126" s="1"/>
  <c r="C118" i="7"/>
  <c r="C26" i="127" s="1"/>
  <c r="D118" i="7"/>
  <c r="C26" i="128" s="1"/>
  <c r="E118" i="7"/>
  <c r="C26" i="129" s="1"/>
  <c r="F118" i="7"/>
  <c r="B26" i="126" s="1"/>
  <c r="G118" i="7"/>
  <c r="B26" i="127" s="1"/>
  <c r="H118" i="7"/>
  <c r="B26" i="128" s="1"/>
  <c r="I118" i="7"/>
  <c r="B26" i="129" s="1"/>
  <c r="J118" i="7"/>
  <c r="D26" i="126" s="1"/>
  <c r="B119" i="7"/>
  <c r="C27" i="126" s="1"/>
  <c r="C119" i="7"/>
  <c r="C27" i="127" s="1"/>
  <c r="D119" i="7"/>
  <c r="C27" i="128" s="1"/>
  <c r="E119" i="7"/>
  <c r="C27" i="129" s="1"/>
  <c r="F119" i="7"/>
  <c r="B27" i="126" s="1"/>
  <c r="G119" i="7"/>
  <c r="B27" i="127" s="1"/>
  <c r="H119" i="7"/>
  <c r="B27" i="128" s="1"/>
  <c r="I119" i="7"/>
  <c r="B27" i="129" s="1"/>
  <c r="J119" i="7"/>
  <c r="D27" i="126" s="1"/>
  <c r="B120" i="7"/>
  <c r="C28" i="126" s="1"/>
  <c r="C120" i="7"/>
  <c r="C28" i="127" s="1"/>
  <c r="D120" i="7"/>
  <c r="C28" i="128" s="1"/>
  <c r="E120" i="7"/>
  <c r="C28" i="129" s="1"/>
  <c r="F120" i="7"/>
  <c r="B28" i="126" s="1"/>
  <c r="G120" i="7"/>
  <c r="B28" i="127" s="1"/>
  <c r="H120" i="7"/>
  <c r="B28" i="128" s="1"/>
  <c r="I120" i="7"/>
  <c r="B28" i="129" s="1"/>
  <c r="J120" i="7"/>
  <c r="D28" i="126" s="1"/>
  <c r="B121" i="7"/>
  <c r="C29" i="126" s="1"/>
  <c r="C121" i="7"/>
  <c r="C29" i="127" s="1"/>
  <c r="D121" i="7"/>
  <c r="C29" i="128" s="1"/>
  <c r="E121" i="7"/>
  <c r="C29" i="129" s="1"/>
  <c r="F121" i="7"/>
  <c r="B29" i="126" s="1"/>
  <c r="G121" i="7"/>
  <c r="B29" i="127" s="1"/>
  <c r="H121" i="7"/>
  <c r="B29" i="128" s="1"/>
  <c r="I121" i="7"/>
  <c r="B29" i="129" s="1"/>
  <c r="J121" i="7"/>
  <c r="D29" i="126" s="1"/>
  <c r="B122" i="7"/>
  <c r="C30" i="126" s="1"/>
  <c r="C122" i="7"/>
  <c r="C30" i="127" s="1"/>
  <c r="D122" i="7"/>
  <c r="C30" i="128" s="1"/>
  <c r="E122" i="7"/>
  <c r="C30" i="129" s="1"/>
  <c r="F122" i="7"/>
  <c r="B30" i="126" s="1"/>
  <c r="G122" i="7"/>
  <c r="B30" i="127" s="1"/>
  <c r="H122" i="7"/>
  <c r="B30" i="128" s="1"/>
  <c r="I122" i="7"/>
  <c r="B30" i="129" s="1"/>
  <c r="J122" i="7"/>
  <c r="D30" i="126" s="1"/>
  <c r="B123" i="7"/>
  <c r="C31" i="126" s="1"/>
  <c r="C123" i="7"/>
  <c r="C31" i="127" s="1"/>
  <c r="D123" i="7"/>
  <c r="C31" i="128" s="1"/>
  <c r="E123" i="7"/>
  <c r="C31" i="129" s="1"/>
  <c r="F123" i="7"/>
  <c r="B31" i="126" s="1"/>
  <c r="G123" i="7"/>
  <c r="B31" i="127" s="1"/>
  <c r="H123" i="7"/>
  <c r="B31" i="128" s="1"/>
  <c r="I123" i="7"/>
  <c r="B31" i="129" s="1"/>
  <c r="J123" i="7"/>
  <c r="D31" i="126" s="1"/>
  <c r="B124" i="7"/>
  <c r="C32" i="126" s="1"/>
  <c r="C124" i="7"/>
  <c r="C32" i="127" s="1"/>
  <c r="D124" i="7"/>
  <c r="C32" i="128" s="1"/>
  <c r="E124" i="7"/>
  <c r="C32" i="129" s="1"/>
  <c r="F124" i="7"/>
  <c r="B32" i="126" s="1"/>
  <c r="G124" i="7"/>
  <c r="B32" i="127" s="1"/>
  <c r="H124" i="7"/>
  <c r="B32" i="128" s="1"/>
  <c r="I124" i="7"/>
  <c r="B32" i="129" s="1"/>
  <c r="J124" i="7"/>
  <c r="D32" i="126" s="1"/>
  <c r="B125" i="7"/>
  <c r="C33" i="126" s="1"/>
  <c r="C125" i="7"/>
  <c r="C33" i="127" s="1"/>
  <c r="D125" i="7"/>
  <c r="C33" i="128" s="1"/>
  <c r="E125" i="7"/>
  <c r="C33" i="129" s="1"/>
  <c r="F125" i="7"/>
  <c r="B33" i="126" s="1"/>
  <c r="G125" i="7"/>
  <c r="B33" i="127" s="1"/>
  <c r="H125" i="7"/>
  <c r="B33" i="128" s="1"/>
  <c r="I125" i="7"/>
  <c r="B33" i="129" s="1"/>
  <c r="J125" i="7"/>
  <c r="D33" i="126" s="1"/>
  <c r="B126" i="7"/>
  <c r="C34" i="126" s="1"/>
  <c r="C126" i="7"/>
  <c r="C34" i="127" s="1"/>
  <c r="D126" i="7"/>
  <c r="C34" i="128" s="1"/>
  <c r="E126" i="7"/>
  <c r="C34" i="129" s="1"/>
  <c r="F126" i="7"/>
  <c r="B34" i="126" s="1"/>
  <c r="G126" i="7"/>
  <c r="B34" i="127" s="1"/>
  <c r="H126" i="7"/>
  <c r="B34" i="128" s="1"/>
  <c r="I126" i="7"/>
  <c r="B34" i="129" s="1"/>
  <c r="J126" i="7"/>
  <c r="D34" i="126" s="1"/>
  <c r="B127" i="7"/>
  <c r="C35" i="126" s="1"/>
  <c r="C127" i="7"/>
  <c r="C35" i="127" s="1"/>
  <c r="D127" i="7"/>
  <c r="C35" i="128" s="1"/>
  <c r="E127" i="7"/>
  <c r="C35" i="129" s="1"/>
  <c r="F127" i="7"/>
  <c r="B35" i="126" s="1"/>
  <c r="G127" i="7"/>
  <c r="B35" i="127" s="1"/>
  <c r="H127" i="7"/>
  <c r="B35" i="128" s="1"/>
  <c r="I127" i="7"/>
  <c r="B35" i="129" s="1"/>
  <c r="J127" i="7"/>
  <c r="D35" i="126" s="1"/>
  <c r="B128" i="7"/>
  <c r="C36" i="126" s="1"/>
  <c r="C128" i="7"/>
  <c r="C36" i="127" s="1"/>
  <c r="D128" i="7"/>
  <c r="C36" i="128" s="1"/>
  <c r="E128" i="7"/>
  <c r="C36" i="129" s="1"/>
  <c r="F128" i="7"/>
  <c r="B36" i="126" s="1"/>
  <c r="G128" i="7"/>
  <c r="B36" i="127" s="1"/>
  <c r="H128" i="7"/>
  <c r="B36" i="128" s="1"/>
  <c r="I128" i="7"/>
  <c r="B36" i="129" s="1"/>
  <c r="J128" i="7"/>
  <c r="D36" i="126" s="1"/>
  <c r="F29" i="15"/>
  <c r="F30" i="15"/>
  <c r="F31" i="15"/>
  <c r="F32" i="15"/>
  <c r="F33" i="15"/>
  <c r="F34" i="15"/>
  <c r="F35" i="15"/>
  <c r="F36" i="15"/>
  <c r="F37" i="15"/>
  <c r="F38" i="15"/>
  <c r="F39" i="15"/>
  <c r="F40" i="15"/>
  <c r="F41" i="15"/>
  <c r="F42" i="15"/>
  <c r="F43" i="15"/>
  <c r="F44" i="15"/>
  <c r="F45" i="15"/>
  <c r="F46" i="15"/>
  <c r="F47" i="15"/>
  <c r="F48" i="15"/>
  <c r="F49" i="15"/>
  <c r="F50" i="15"/>
  <c r="F51" i="15"/>
  <c r="F52" i="15"/>
  <c r="F53" i="15"/>
  <c r="F54" i="15"/>
  <c r="F55" i="15"/>
  <c r="F56" i="15"/>
  <c r="F57" i="15"/>
  <c r="F58" i="15"/>
  <c r="F59" i="15"/>
  <c r="F60" i="15"/>
  <c r="F61" i="15"/>
  <c r="F62" i="15"/>
  <c r="F63" i="15"/>
  <c r="F64" i="15"/>
  <c r="F65" i="15"/>
  <c r="F66" i="15"/>
  <c r="F67" i="15"/>
  <c r="F68" i="15"/>
  <c r="F69" i="15"/>
  <c r="F70" i="15"/>
  <c r="F71" i="15"/>
  <c r="F72" i="15"/>
  <c r="F73" i="15"/>
  <c r="F74" i="15"/>
  <c r="F75" i="15"/>
  <c r="F76" i="15"/>
  <c r="F77" i="15"/>
  <c r="F78" i="15"/>
  <c r="F79" i="15"/>
  <c r="F80" i="15"/>
  <c r="F81" i="15"/>
  <c r="F82" i="15"/>
  <c r="F83" i="15"/>
  <c r="F84" i="15"/>
  <c r="F85" i="15"/>
  <c r="F86" i="15"/>
  <c r="F87" i="15"/>
  <c r="F88" i="15"/>
  <c r="F89" i="15"/>
  <c r="F90" i="15"/>
  <c r="F91" i="15"/>
  <c r="F92" i="15"/>
  <c r="F93" i="15"/>
  <c r="F94" i="15"/>
  <c r="F95" i="15"/>
  <c r="F96" i="15"/>
  <c r="F97" i="15"/>
  <c r="F98" i="15"/>
  <c r="F99" i="15"/>
  <c r="F100" i="15"/>
  <c r="F101" i="15"/>
  <c r="F102" i="15"/>
  <c r="F103" i="15"/>
  <c r="F104" i="15"/>
  <c r="F105" i="15"/>
  <c r="F106" i="15"/>
  <c r="F107" i="15"/>
  <c r="F108" i="15"/>
  <c r="F109" i="15"/>
  <c r="F110" i="15"/>
  <c r="F111" i="15"/>
  <c r="F112" i="15"/>
  <c r="F113" i="15"/>
  <c r="F114" i="15"/>
  <c r="F115" i="15"/>
  <c r="F116" i="15"/>
  <c r="F117" i="15"/>
  <c r="F118" i="15"/>
  <c r="F119" i="15"/>
  <c r="F120" i="15"/>
  <c r="F121" i="15"/>
  <c r="F122" i="15"/>
  <c r="F123" i="15"/>
  <c r="F124" i="15"/>
  <c r="F125" i="15"/>
  <c r="F126" i="15"/>
  <c r="F127" i="15"/>
  <c r="F28" i="15"/>
  <c r="F269" i="7"/>
  <c r="B297" i="7"/>
  <c r="C239" i="7"/>
  <c r="C240" i="7"/>
  <c r="C241" i="7"/>
  <c r="C242" i="7"/>
  <c r="C243" i="7"/>
  <c r="C244" i="7"/>
  <c r="C245" i="7"/>
  <c r="C247" i="7"/>
  <c r="C248" i="7"/>
  <c r="C249" i="7"/>
  <c r="C250" i="7"/>
  <c r="C251" i="7"/>
  <c r="C252" i="7"/>
  <c r="C253" i="7"/>
  <c r="C255" i="7"/>
  <c r="C256" i="7"/>
  <c r="C257" i="7"/>
  <c r="C258" i="7"/>
  <c r="C259" i="7"/>
  <c r="C260" i="7"/>
  <c r="C261" i="7"/>
  <c r="C262" i="7"/>
  <c r="C263" i="7"/>
  <c r="C264" i="7"/>
  <c r="C265" i="7"/>
  <c r="C266" i="7"/>
  <c r="C267" i="7"/>
  <c r="C268" i="7"/>
  <c r="C269" i="7"/>
  <c r="C270" i="7"/>
  <c r="C271" i="7"/>
  <c r="C272" i="7"/>
  <c r="C273" i="7"/>
  <c r="C25" i="12"/>
  <c r="D25" i="12" s="1"/>
  <c r="E25" i="12"/>
  <c r="K211" i="7"/>
  <c r="L211" i="7" s="1"/>
  <c r="J211" i="7"/>
  <c r="I202" i="7"/>
  <c r="H202" i="7"/>
  <c r="G202" i="7"/>
  <c r="F202" i="7"/>
  <c r="E202" i="7"/>
  <c r="D202" i="7"/>
  <c r="C202" i="7"/>
  <c r="B202" i="7"/>
  <c r="F15" i="7"/>
  <c r="D15" i="7" s="1" a="1"/>
  <c r="D15" i="7" s="1"/>
  <c r="B142" i="7"/>
  <c r="N65" i="7"/>
  <c r="C196" i="20" s="1"/>
  <c r="C204" i="20" l="1"/>
  <c r="C200" i="20"/>
  <c r="C192" i="20"/>
  <c r="C188" i="20"/>
  <c r="C183" i="20"/>
  <c r="C179" i="20"/>
  <c r="C174" i="20"/>
  <c r="C170" i="20"/>
  <c r="C201" i="20"/>
  <c r="C197" i="20"/>
  <c r="C193" i="20"/>
  <c r="C189" i="20"/>
  <c r="C184" i="20"/>
  <c r="C180" i="20"/>
  <c r="C175" i="20"/>
  <c r="C171" i="20"/>
  <c r="C202" i="20"/>
  <c r="C198" i="20"/>
  <c r="C194" i="20"/>
  <c r="C190" i="20"/>
  <c r="C186" i="20"/>
  <c r="C181" i="20"/>
  <c r="C176" i="20"/>
  <c r="C172" i="20"/>
  <c r="C7" i="6"/>
  <c r="H70" i="12"/>
  <c r="C203" i="20"/>
  <c r="C199" i="20"/>
  <c r="C195" i="20"/>
  <c r="C191" i="20"/>
  <c r="C187" i="20"/>
  <c r="C182" i="20"/>
  <c r="C178" i="20"/>
  <c r="C173" i="20"/>
  <c r="J37" i="136"/>
  <c r="I36" i="136"/>
  <c r="H35" i="136"/>
  <c r="J33" i="136"/>
  <c r="I32" i="136"/>
  <c r="H31" i="136"/>
  <c r="J29" i="136"/>
  <c r="I28" i="136"/>
  <c r="H27" i="136"/>
  <c r="J25" i="136"/>
  <c r="T25" i="136" s="1"/>
  <c r="B146" i="3" s="1"/>
  <c r="I24" i="136"/>
  <c r="H23" i="136"/>
  <c r="J21" i="136"/>
  <c r="T21" i="136" s="1"/>
  <c r="B142" i="3" s="1"/>
  <c r="I20" i="136"/>
  <c r="H19" i="136"/>
  <c r="J16" i="136"/>
  <c r="T16" i="136" s="1"/>
  <c r="I15" i="136"/>
  <c r="H14" i="136"/>
  <c r="J12" i="136"/>
  <c r="T12" i="136" s="1"/>
  <c r="B133" i="3" s="1"/>
  <c r="I11" i="136"/>
  <c r="J8" i="136"/>
  <c r="T8" i="136" s="1"/>
  <c r="B129" i="3" s="1"/>
  <c r="I7" i="136"/>
  <c r="H6" i="136"/>
  <c r="J4" i="136"/>
  <c r="T4" i="136" s="1"/>
  <c r="I3" i="136"/>
  <c r="M34" i="136"/>
  <c r="U34" i="136" s="1"/>
  <c r="C155" i="3" s="1"/>
  <c r="M30" i="136"/>
  <c r="U30" i="136" s="1"/>
  <c r="C151" i="3" s="1"/>
  <c r="M26" i="136"/>
  <c r="U26" i="136" s="1"/>
  <c r="C147" i="3" s="1"/>
  <c r="M22" i="136"/>
  <c r="U22" i="136" s="1"/>
  <c r="M17" i="136"/>
  <c r="U17" i="136" s="1"/>
  <c r="C138" i="3" s="1"/>
  <c r="M13" i="136"/>
  <c r="U13" i="136" s="1"/>
  <c r="C134" i="3" s="1"/>
  <c r="M9" i="136"/>
  <c r="U9" i="136" s="1"/>
  <c r="M5" i="136"/>
  <c r="U5" i="136" s="1"/>
  <c r="C126" i="3" s="1"/>
  <c r="I37" i="136"/>
  <c r="H36" i="136"/>
  <c r="J34" i="136"/>
  <c r="T34" i="136" s="1"/>
  <c r="B155" i="3" s="1"/>
  <c r="I33" i="136"/>
  <c r="H32" i="136"/>
  <c r="J30" i="136"/>
  <c r="T30" i="136" s="1"/>
  <c r="I29" i="136"/>
  <c r="H28" i="136"/>
  <c r="J26" i="136"/>
  <c r="I25" i="136"/>
  <c r="H24" i="136"/>
  <c r="J22" i="136"/>
  <c r="T22" i="136" s="1"/>
  <c r="I21" i="136"/>
  <c r="H20" i="136"/>
  <c r="J17" i="136"/>
  <c r="T17" i="136" s="1"/>
  <c r="B138" i="3" s="1"/>
  <c r="I16" i="136"/>
  <c r="H15" i="136"/>
  <c r="J13" i="136"/>
  <c r="T13" i="136" s="1"/>
  <c r="B134" i="3" s="1"/>
  <c r="I12" i="136"/>
  <c r="H11" i="136"/>
  <c r="J9" i="136"/>
  <c r="T9" i="136" s="1"/>
  <c r="I8" i="136"/>
  <c r="H7" i="136"/>
  <c r="J5" i="136"/>
  <c r="I4" i="136"/>
  <c r="H3" i="136"/>
  <c r="M37" i="136"/>
  <c r="U37" i="136" s="1"/>
  <c r="C158" i="3" s="1"/>
  <c r="M33" i="136"/>
  <c r="U33" i="136" s="1"/>
  <c r="C154" i="3" s="1"/>
  <c r="M29" i="136"/>
  <c r="U29" i="136" s="1"/>
  <c r="C150" i="3" s="1"/>
  <c r="M25" i="136"/>
  <c r="U25" i="136" s="1"/>
  <c r="C146" i="3" s="1"/>
  <c r="M21" i="136"/>
  <c r="U21" i="136" s="1"/>
  <c r="C142" i="3" s="1"/>
  <c r="M16" i="136"/>
  <c r="U16" i="136" s="1"/>
  <c r="M12" i="136"/>
  <c r="U12" i="136" s="1"/>
  <c r="C133" i="3" s="1"/>
  <c r="M8" i="136"/>
  <c r="U8" i="136" s="1"/>
  <c r="C129" i="3" s="1"/>
  <c r="M4" i="136"/>
  <c r="U4" i="136" s="1"/>
  <c r="H37" i="136"/>
  <c r="J35" i="136"/>
  <c r="T35" i="136" s="1"/>
  <c r="B156" i="3" s="1"/>
  <c r="I34" i="136"/>
  <c r="H33" i="136"/>
  <c r="J31" i="136"/>
  <c r="T31" i="136" s="1"/>
  <c r="B152" i="3" s="1"/>
  <c r="I30" i="136"/>
  <c r="H29" i="136"/>
  <c r="J27" i="136"/>
  <c r="T27" i="136" s="1"/>
  <c r="B148" i="3" s="1"/>
  <c r="I26" i="136"/>
  <c r="H25" i="136"/>
  <c r="L25" i="136" s="1"/>
  <c r="Q25" i="136" s="1"/>
  <c r="J23" i="136"/>
  <c r="T23" i="136" s="1"/>
  <c r="I22" i="136"/>
  <c r="H21" i="136"/>
  <c r="L21" i="136" s="1"/>
  <c r="Q21" i="136" s="1"/>
  <c r="J19" i="136"/>
  <c r="T19" i="136" s="1"/>
  <c r="B140" i="3" s="1"/>
  <c r="I17" i="136"/>
  <c r="H16" i="136"/>
  <c r="L16" i="136" s="1"/>
  <c r="Q16" i="136" s="1"/>
  <c r="J14" i="136"/>
  <c r="T14" i="136" s="1"/>
  <c r="I13" i="136"/>
  <c r="H12" i="136"/>
  <c r="L12" i="136" s="1"/>
  <c r="Q12" i="136" s="1"/>
  <c r="I9" i="136"/>
  <c r="H8" i="136"/>
  <c r="L8" i="136" s="1"/>
  <c r="Q8" i="136" s="1"/>
  <c r="J6" i="136"/>
  <c r="T6" i="136" s="1"/>
  <c r="I5" i="136"/>
  <c r="H4" i="136"/>
  <c r="L4" i="136" s="1"/>
  <c r="Q4" i="136" s="1"/>
  <c r="M36" i="136"/>
  <c r="U36" i="136" s="1"/>
  <c r="C157" i="3" s="1"/>
  <c r="M32" i="136"/>
  <c r="U32" i="136" s="1"/>
  <c r="C153" i="3" s="1"/>
  <c r="M28" i="136"/>
  <c r="U28" i="136" s="1"/>
  <c r="M24" i="136"/>
  <c r="U24" i="136" s="1"/>
  <c r="C145" i="3" s="1"/>
  <c r="M20" i="136"/>
  <c r="U20" i="136" s="1"/>
  <c r="C141" i="3" s="1"/>
  <c r="M15" i="136"/>
  <c r="U15" i="136" s="1"/>
  <c r="M11" i="136"/>
  <c r="U11" i="136" s="1"/>
  <c r="C132" i="3" s="1"/>
  <c r="M7" i="136"/>
  <c r="U7" i="136" s="1"/>
  <c r="M3" i="136"/>
  <c r="U3" i="136" s="1"/>
  <c r="J36" i="136"/>
  <c r="T36" i="136" s="1"/>
  <c r="B157" i="3" s="1"/>
  <c r="I35" i="136"/>
  <c r="H34" i="136"/>
  <c r="J32" i="136"/>
  <c r="T32" i="136" s="1"/>
  <c r="B153" i="3" s="1"/>
  <c r="I31" i="136"/>
  <c r="K31" i="136" s="1"/>
  <c r="V31" i="136" s="1"/>
  <c r="D45" i="8" s="1"/>
  <c r="H30" i="136"/>
  <c r="J28" i="136"/>
  <c r="T28" i="136" s="1"/>
  <c r="I27" i="136"/>
  <c r="K27" i="136" s="1"/>
  <c r="V27" i="136" s="1"/>
  <c r="D41" i="8" s="1"/>
  <c r="H26" i="136"/>
  <c r="J24" i="136"/>
  <c r="T24" i="136" s="1"/>
  <c r="I23" i="136"/>
  <c r="K23" i="136" s="1"/>
  <c r="V23" i="136" s="1"/>
  <c r="D37" i="8" s="1"/>
  <c r="H22" i="136"/>
  <c r="J20" i="136"/>
  <c r="T20" i="136" s="1"/>
  <c r="B141" i="3" s="1"/>
  <c r="I19" i="136"/>
  <c r="K19" i="136" s="1"/>
  <c r="V19" i="136" s="1"/>
  <c r="D33" i="8" s="1"/>
  <c r="H17" i="136"/>
  <c r="J15" i="136"/>
  <c r="T15" i="136" s="1"/>
  <c r="I14" i="136"/>
  <c r="K14" i="136" s="1"/>
  <c r="V14" i="136" s="1"/>
  <c r="D28" i="8" s="1"/>
  <c r="H13" i="136"/>
  <c r="J11" i="136"/>
  <c r="T11" i="136" s="1"/>
  <c r="B132" i="3" s="1"/>
  <c r="H9" i="136"/>
  <c r="J7" i="136"/>
  <c r="T7" i="136" s="1"/>
  <c r="I6" i="136"/>
  <c r="K6" i="136" s="1"/>
  <c r="V6" i="136" s="1"/>
  <c r="D20" i="8" s="1"/>
  <c r="H5" i="136"/>
  <c r="J3" i="136"/>
  <c r="T3" i="136" s="1"/>
  <c r="M35" i="136"/>
  <c r="U35" i="136" s="1"/>
  <c r="C156" i="3" s="1"/>
  <c r="M31" i="136"/>
  <c r="U31" i="136" s="1"/>
  <c r="C152" i="3" s="1"/>
  <c r="M27" i="136"/>
  <c r="U27" i="136" s="1"/>
  <c r="C148" i="3" s="1"/>
  <c r="M23" i="136"/>
  <c r="U23" i="136" s="1"/>
  <c r="C144" i="3" s="1"/>
  <c r="M19" i="136"/>
  <c r="U19" i="136" s="1"/>
  <c r="C140" i="3" s="1"/>
  <c r="M14" i="136"/>
  <c r="U14" i="136" s="1"/>
  <c r="M6" i="136"/>
  <c r="U6" i="136" s="1"/>
  <c r="T5" i="136"/>
  <c r="B126" i="3" s="1"/>
  <c r="T26" i="136"/>
  <c r="B147" i="3" s="1"/>
  <c r="B33" i="11"/>
  <c r="H50" i="11"/>
  <c r="H53" i="11"/>
  <c r="B54" i="11"/>
  <c r="J10" i="8"/>
  <c r="K10" i="8"/>
  <c r="M10" i="8" s="1"/>
  <c r="B13" i="8" s="1"/>
  <c r="D112" i="14"/>
  <c r="F73" i="14"/>
  <c r="D20" i="14" s="1"/>
  <c r="F74" i="14"/>
  <c r="D21" i="14" s="1"/>
  <c r="D74" i="14" s="1"/>
  <c r="E101" i="14"/>
  <c r="C35" i="14"/>
  <c r="C34" i="14"/>
  <c r="D34" i="14" s="1"/>
  <c r="B112" i="14"/>
  <c r="E112" i="14" s="1"/>
  <c r="B36" i="14" s="1"/>
  <c r="C36" i="14" s="1"/>
  <c r="D36" i="14" s="1"/>
  <c r="E110" i="14"/>
  <c r="B33" i="14"/>
  <c r="B24" i="14"/>
  <c r="D25" i="14"/>
  <c r="E58" i="14"/>
  <c r="D84" i="14"/>
  <c r="E73" i="14" s="1"/>
  <c r="E47" i="14"/>
  <c r="B60" i="14"/>
  <c r="D60" i="14"/>
  <c r="F141" i="4"/>
  <c r="F136" i="4"/>
  <c r="F131" i="4"/>
  <c r="F125" i="4"/>
  <c r="F120" i="4"/>
  <c r="F115" i="4"/>
  <c r="F109" i="4"/>
  <c r="F104" i="4"/>
  <c r="F96" i="4"/>
  <c r="F88" i="4"/>
  <c r="H88" i="4" s="1"/>
  <c r="F80" i="4"/>
  <c r="H80" i="4" s="1"/>
  <c r="F72" i="4"/>
  <c r="F64" i="4"/>
  <c r="F56" i="4"/>
  <c r="F48" i="4"/>
  <c r="H48" i="4" s="1"/>
  <c r="G135" i="4"/>
  <c r="G119" i="4"/>
  <c r="G103" i="4"/>
  <c r="H103" i="4" s="1"/>
  <c r="G87" i="4"/>
  <c r="H87" i="4" s="1"/>
  <c r="G71" i="4"/>
  <c r="G55" i="4"/>
  <c r="H135" i="4"/>
  <c r="H119" i="4"/>
  <c r="H79" i="4"/>
  <c r="H71" i="4"/>
  <c r="F63" i="4"/>
  <c r="F55" i="4"/>
  <c r="H55" i="4" s="1"/>
  <c r="F47" i="4"/>
  <c r="G130" i="4"/>
  <c r="G114" i="4"/>
  <c r="G98" i="4"/>
  <c r="G82" i="4"/>
  <c r="G66" i="4"/>
  <c r="G50" i="4"/>
  <c r="F144" i="4"/>
  <c r="F139" i="4"/>
  <c r="F133" i="4"/>
  <c r="F128" i="4"/>
  <c r="F123" i="4"/>
  <c r="F117" i="4"/>
  <c r="F112" i="4"/>
  <c r="F107" i="4"/>
  <c r="F100" i="4"/>
  <c r="F92" i="4"/>
  <c r="F84" i="4"/>
  <c r="F76" i="4"/>
  <c r="F68" i="4"/>
  <c r="F60" i="4"/>
  <c r="F52" i="4"/>
  <c r="G143" i="4"/>
  <c r="G127" i="4"/>
  <c r="H127" i="4" s="1"/>
  <c r="G111" i="4"/>
  <c r="H111" i="4" s="1"/>
  <c r="G95" i="4"/>
  <c r="H95" i="4" s="1"/>
  <c r="G79" i="4"/>
  <c r="G63" i="4"/>
  <c r="G47" i="4"/>
  <c r="F105" i="4"/>
  <c r="F99" i="4"/>
  <c r="F91" i="4"/>
  <c r="F83" i="4"/>
  <c r="F75" i="4"/>
  <c r="F67" i="4"/>
  <c r="F59" i="4"/>
  <c r="F51" i="4"/>
  <c r="G138" i="4"/>
  <c r="G122" i="4"/>
  <c r="G106" i="4"/>
  <c r="G90" i="4"/>
  <c r="G74" i="4"/>
  <c r="G58" i="4"/>
  <c r="G142" i="4"/>
  <c r="G134" i="4"/>
  <c r="G126" i="4"/>
  <c r="G118" i="4"/>
  <c r="G110" i="4"/>
  <c r="G102" i="4"/>
  <c r="G94" i="4"/>
  <c r="G86" i="4"/>
  <c r="G78" i="4"/>
  <c r="G70" i="4"/>
  <c r="G62" i="4"/>
  <c r="H107" i="4"/>
  <c r="G48" i="4"/>
  <c r="G52" i="4"/>
  <c r="G56" i="4"/>
  <c r="G60" i="4"/>
  <c r="H60" i="4" s="1"/>
  <c r="G64" i="4"/>
  <c r="H64" i="4" s="1"/>
  <c r="G68" i="4"/>
  <c r="G72" i="4"/>
  <c r="G76" i="4"/>
  <c r="H76" i="4" s="1"/>
  <c r="G80" i="4"/>
  <c r="G84" i="4"/>
  <c r="G88" i="4"/>
  <c r="G92" i="4"/>
  <c r="H92" i="4" s="1"/>
  <c r="G96" i="4"/>
  <c r="H96" i="4" s="1"/>
  <c r="G100" i="4"/>
  <c r="G104" i="4"/>
  <c r="G108" i="4"/>
  <c r="H108" i="4" s="1"/>
  <c r="G112" i="4"/>
  <c r="H112" i="4" s="1"/>
  <c r="G116" i="4"/>
  <c r="H116" i="4" s="1"/>
  <c r="G120" i="4"/>
  <c r="G124" i="4"/>
  <c r="H124" i="4" s="1"/>
  <c r="G128" i="4"/>
  <c r="H128" i="4" s="1"/>
  <c r="G132" i="4"/>
  <c r="H132" i="4" s="1"/>
  <c r="G136" i="4"/>
  <c r="H136" i="4" s="1"/>
  <c r="G140" i="4"/>
  <c r="H140" i="4" s="1"/>
  <c r="G144" i="4"/>
  <c r="G49" i="4"/>
  <c r="H49" i="4" s="1"/>
  <c r="G53" i="4"/>
  <c r="G57" i="4"/>
  <c r="G61" i="4"/>
  <c r="G65" i="4"/>
  <c r="G69" i="4"/>
  <c r="G73" i="4"/>
  <c r="G77" i="4"/>
  <c r="G81" i="4"/>
  <c r="G85" i="4"/>
  <c r="G89" i="4"/>
  <c r="G93" i="4"/>
  <c r="G97" i="4"/>
  <c r="G101" i="4"/>
  <c r="G105" i="4"/>
  <c r="H105" i="4" s="1"/>
  <c r="G109" i="4"/>
  <c r="G113" i="4"/>
  <c r="H113" i="4" s="1"/>
  <c r="G117" i="4"/>
  <c r="G121" i="4"/>
  <c r="H121" i="4" s="1"/>
  <c r="G125" i="4"/>
  <c r="H125" i="4" s="1"/>
  <c r="G129" i="4"/>
  <c r="H129" i="4" s="1"/>
  <c r="G133" i="4"/>
  <c r="H133" i="4" s="1"/>
  <c r="G137" i="4"/>
  <c r="H137" i="4" s="1"/>
  <c r="G141" i="4"/>
  <c r="H141" i="4" s="1"/>
  <c r="G46" i="4"/>
  <c r="H46" i="4" s="1"/>
  <c r="H143" i="4"/>
  <c r="H99" i="4"/>
  <c r="H120" i="4"/>
  <c r="H104" i="4"/>
  <c r="H72" i="4"/>
  <c r="H56" i="4"/>
  <c r="G139" i="4"/>
  <c r="G131" i="4"/>
  <c r="G123" i="4"/>
  <c r="H123" i="4" s="1"/>
  <c r="G115" i="4"/>
  <c r="H115" i="4" s="1"/>
  <c r="G107" i="4"/>
  <c r="G99" i="4"/>
  <c r="G91" i="4"/>
  <c r="H91" i="4" s="1"/>
  <c r="G83" i="4"/>
  <c r="G75" i="4"/>
  <c r="H75" i="4" s="1"/>
  <c r="G67" i="4"/>
  <c r="H67" i="4" s="1"/>
  <c r="G59" i="4"/>
  <c r="H59" i="4" s="1"/>
  <c r="G51" i="4"/>
  <c r="F142" i="4"/>
  <c r="F138" i="4"/>
  <c r="H138" i="4" s="1"/>
  <c r="F134" i="4"/>
  <c r="H134" i="4" s="1"/>
  <c r="F130" i="4"/>
  <c r="H130" i="4" s="1"/>
  <c r="F126" i="4"/>
  <c r="F122" i="4"/>
  <c r="H122" i="4" s="1"/>
  <c r="F118" i="4"/>
  <c r="F114" i="4"/>
  <c r="H114" i="4" s="1"/>
  <c r="F110" i="4"/>
  <c r="F106" i="4"/>
  <c r="H106" i="4" s="1"/>
  <c r="F102" i="4"/>
  <c r="H102" i="4" s="1"/>
  <c r="F98" i="4"/>
  <c r="F94" i="4"/>
  <c r="F90" i="4"/>
  <c r="F86" i="4"/>
  <c r="F82" i="4"/>
  <c r="F78" i="4"/>
  <c r="F74" i="4"/>
  <c r="H74" i="4" s="1"/>
  <c r="F70" i="4"/>
  <c r="H70" i="4" s="1"/>
  <c r="F66" i="4"/>
  <c r="H66" i="4" s="1"/>
  <c r="F62" i="4"/>
  <c r="F58" i="4"/>
  <c r="H58" i="4" s="1"/>
  <c r="F54" i="4"/>
  <c r="H54" i="4" s="1"/>
  <c r="F50" i="4"/>
  <c r="H50" i="4" s="1"/>
  <c r="F101" i="4"/>
  <c r="F97" i="4"/>
  <c r="F93" i="4"/>
  <c r="H93" i="4" s="1"/>
  <c r="F89" i="4"/>
  <c r="F85" i="4"/>
  <c r="F81" i="4"/>
  <c r="F77" i="4"/>
  <c r="H77" i="4" s="1"/>
  <c r="F73" i="4"/>
  <c r="F69" i="4"/>
  <c r="F65" i="4"/>
  <c r="F61" i="4"/>
  <c r="H61" i="4" s="1"/>
  <c r="F57" i="4"/>
  <c r="F53" i="4"/>
  <c r="D36" i="128"/>
  <c r="D24" i="128"/>
  <c r="D16" i="128"/>
  <c r="D12" i="128"/>
  <c r="D3" i="128"/>
  <c r="D34" i="128"/>
  <c r="D30" i="128"/>
  <c r="D26" i="128"/>
  <c r="D22" i="128"/>
  <c r="D18" i="128"/>
  <c r="D14" i="128"/>
  <c r="D10" i="128"/>
  <c r="D6" i="128"/>
  <c r="D28" i="128"/>
  <c r="D20" i="128"/>
  <c r="D8" i="128"/>
  <c r="D2" i="128"/>
  <c r="D33" i="128"/>
  <c r="D29" i="128"/>
  <c r="D25" i="128"/>
  <c r="D21" i="128"/>
  <c r="D17" i="128"/>
  <c r="D13" i="128"/>
  <c r="D9" i="128"/>
  <c r="D5" i="128"/>
  <c r="D32" i="128"/>
  <c r="D35" i="128"/>
  <c r="D31" i="128"/>
  <c r="D27" i="128"/>
  <c r="D23" i="128"/>
  <c r="D19" i="128"/>
  <c r="D15" i="128"/>
  <c r="D11" i="128"/>
  <c r="D7" i="128"/>
  <c r="F7" i="7"/>
  <c r="D7" i="7" s="1" a="1"/>
  <c r="D7" i="7" s="1"/>
  <c r="B15" i="7" a="1"/>
  <c r="B15" i="7" s="1"/>
  <c r="C15" i="7" a="1"/>
  <c r="C15" i="7" s="1"/>
  <c r="K202" i="7"/>
  <c r="L202" i="7" s="1"/>
  <c r="E15" i="7" a="1"/>
  <c r="E15" i="7" s="1"/>
  <c r="E7" i="7" s="1" a="1"/>
  <c r="E7" i="7" s="1"/>
  <c r="M202" i="7"/>
  <c r="AO16" i="20"/>
  <c r="AO15" i="20"/>
  <c r="AO14" i="20"/>
  <c r="AO17" i="20"/>
  <c r="P17" i="20"/>
  <c r="P9" i="20" s="1"/>
  <c r="C7" i="7" l="1" a="1"/>
  <c r="C7" i="7" s="1"/>
  <c r="B7" i="7" a="1"/>
  <c r="B7" i="7" s="1"/>
  <c r="K32" i="136"/>
  <c r="V32" i="136" s="1"/>
  <c r="D46" i="8" s="1"/>
  <c r="K21" i="136"/>
  <c r="V21" i="136" s="1"/>
  <c r="D35" i="8" s="1"/>
  <c r="K25" i="136"/>
  <c r="V25" i="136" s="1"/>
  <c r="D39" i="8" s="1"/>
  <c r="K33" i="136"/>
  <c r="V33" i="136" s="1"/>
  <c r="D47" i="8" s="1"/>
  <c r="L7" i="136"/>
  <c r="Q7" i="136" s="1"/>
  <c r="K24" i="136"/>
  <c r="P24" i="136" s="1"/>
  <c r="C87" i="3" s="1"/>
  <c r="K15" i="136"/>
  <c r="O15" i="136" s="1"/>
  <c r="B29" i="8" s="1"/>
  <c r="K8" i="136"/>
  <c r="V8" i="136" s="1"/>
  <c r="D22" i="8" s="1"/>
  <c r="K35" i="136"/>
  <c r="V35" i="136" s="1"/>
  <c r="D49" i="8" s="1"/>
  <c r="P32" i="136"/>
  <c r="C95" i="3" s="1"/>
  <c r="K37" i="136"/>
  <c r="V37" i="136" s="1"/>
  <c r="D51" i="8" s="1"/>
  <c r="K4" i="136"/>
  <c r="V4" i="136" s="1"/>
  <c r="D18" i="8" s="1"/>
  <c r="L24" i="136"/>
  <c r="R24" i="136" s="1"/>
  <c r="K29" i="136"/>
  <c r="N29" i="136" s="1"/>
  <c r="B92" i="3" s="1"/>
  <c r="L28" i="136"/>
  <c r="Q28" i="136" s="1"/>
  <c r="K16" i="136"/>
  <c r="N16" i="136" s="1"/>
  <c r="B79" i="3" s="1"/>
  <c r="L32" i="136"/>
  <c r="R32" i="136" s="1"/>
  <c r="L20" i="136"/>
  <c r="S20" i="136" s="1"/>
  <c r="K12" i="136"/>
  <c r="N12" i="136" s="1"/>
  <c r="B75" i="3" s="1"/>
  <c r="L3" i="136"/>
  <c r="S3" i="136" s="1"/>
  <c r="L11" i="136"/>
  <c r="S11" i="136" s="1"/>
  <c r="K7" i="136"/>
  <c r="V7" i="136" s="1"/>
  <c r="D21" i="8" s="1"/>
  <c r="L15" i="136"/>
  <c r="R15" i="136" s="1"/>
  <c r="K3" i="136"/>
  <c r="V3" i="136" s="1"/>
  <c r="D17" i="8" s="1"/>
  <c r="K20" i="136"/>
  <c r="V20" i="136" s="1"/>
  <c r="D34" i="8" s="1"/>
  <c r="K34" i="136"/>
  <c r="V34" i="136" s="1"/>
  <c r="D48" i="8" s="1"/>
  <c r="K11" i="136"/>
  <c r="V11" i="136" s="1"/>
  <c r="D25" i="8" s="1"/>
  <c r="K28" i="136"/>
  <c r="V28" i="136" s="1"/>
  <c r="D42" i="8" s="1"/>
  <c r="L5" i="136"/>
  <c r="K5" i="136"/>
  <c r="V5" i="136" s="1"/>
  <c r="D19" i="8" s="1"/>
  <c r="K17" i="136"/>
  <c r="V17" i="136" s="1"/>
  <c r="D31" i="8" s="1"/>
  <c r="L17" i="136"/>
  <c r="S4" i="136"/>
  <c r="R4" i="136"/>
  <c r="S16" i="136"/>
  <c r="R16" i="136"/>
  <c r="L34" i="136"/>
  <c r="L23" i="136"/>
  <c r="L33" i="136"/>
  <c r="T33" i="136"/>
  <c r="K13" i="136"/>
  <c r="V13" i="136" s="1"/>
  <c r="D27" i="8" s="1"/>
  <c r="L13" i="136"/>
  <c r="L30" i="136"/>
  <c r="K30" i="136"/>
  <c r="V30" i="136" s="1"/>
  <c r="D44" i="8" s="1"/>
  <c r="S12" i="136"/>
  <c r="R12" i="136"/>
  <c r="K36" i="136"/>
  <c r="V36" i="136" s="1"/>
  <c r="D50" i="8" s="1"/>
  <c r="L36" i="136"/>
  <c r="L6" i="136"/>
  <c r="L19" i="136"/>
  <c r="L29" i="136"/>
  <c r="T29" i="136"/>
  <c r="B150" i="3" s="1"/>
  <c r="L35" i="136"/>
  <c r="K26" i="136"/>
  <c r="V26" i="136" s="1"/>
  <c r="D40" i="8" s="1"/>
  <c r="L26" i="136"/>
  <c r="S25" i="136"/>
  <c r="R25" i="136"/>
  <c r="L14" i="136"/>
  <c r="L31" i="136"/>
  <c r="K9" i="136"/>
  <c r="V9" i="136" s="1"/>
  <c r="D23" i="8" s="1"/>
  <c r="L9" i="136"/>
  <c r="K22" i="136"/>
  <c r="V22" i="136" s="1"/>
  <c r="D36" i="8" s="1"/>
  <c r="L22" i="136"/>
  <c r="S8" i="136"/>
  <c r="R8" i="136"/>
  <c r="S21" i="136"/>
  <c r="R21" i="136"/>
  <c r="L27" i="136"/>
  <c r="L37" i="136"/>
  <c r="T37" i="136"/>
  <c r="B158" i="3" s="1"/>
  <c r="P37" i="136"/>
  <c r="C100" i="3" s="1"/>
  <c r="P19" i="136"/>
  <c r="C82" i="3" s="1"/>
  <c r="N19" i="136"/>
  <c r="B82" i="3" s="1"/>
  <c r="O19" i="136"/>
  <c r="B33" i="8" s="1"/>
  <c r="P35" i="136"/>
  <c r="C98" i="3" s="1"/>
  <c r="S7" i="136"/>
  <c r="S24" i="136"/>
  <c r="E47" i="9" s="1"/>
  <c r="P27" i="136"/>
  <c r="C90" i="3" s="1"/>
  <c r="N27" i="136"/>
  <c r="B90" i="3" s="1"/>
  <c r="O27" i="136"/>
  <c r="B41" i="8" s="1"/>
  <c r="P6" i="136"/>
  <c r="C69" i="3" s="1"/>
  <c r="N6" i="136"/>
  <c r="B69" i="3" s="1"/>
  <c r="O6" i="136"/>
  <c r="B20" i="8" s="1"/>
  <c r="P23" i="136"/>
  <c r="C86" i="3" s="1"/>
  <c r="N23" i="136"/>
  <c r="B86" i="3" s="1"/>
  <c r="O23" i="136"/>
  <c r="B37" i="8" s="1"/>
  <c r="N31" i="136"/>
  <c r="B94" i="3" s="1"/>
  <c r="O31" i="136"/>
  <c r="B45" i="8" s="1"/>
  <c r="P31" i="136"/>
  <c r="C94" i="3" s="1"/>
  <c r="O21" i="136"/>
  <c r="B35" i="8" s="1"/>
  <c r="N25" i="136"/>
  <c r="B88" i="3" s="1"/>
  <c r="P14" i="136"/>
  <c r="C77" i="3" s="1"/>
  <c r="N14" i="136"/>
  <c r="B77" i="3" s="1"/>
  <c r="O14" i="136"/>
  <c r="B28" i="8" s="1"/>
  <c r="Q32" i="136"/>
  <c r="R20" i="136"/>
  <c r="H54" i="11"/>
  <c r="C8" i="8"/>
  <c r="B8" i="8"/>
  <c r="F75" i="14"/>
  <c r="E60" i="14"/>
  <c r="B14" i="14" s="1"/>
  <c r="B17" i="14" s="1"/>
  <c r="H90" i="4"/>
  <c r="H131" i="4"/>
  <c r="H117" i="4"/>
  <c r="H53" i="4"/>
  <c r="H69" i="4"/>
  <c r="H85" i="4"/>
  <c r="H101" i="4"/>
  <c r="H78" i="4"/>
  <c r="H110" i="4"/>
  <c r="H142" i="4"/>
  <c r="H139" i="4"/>
  <c r="H57" i="4"/>
  <c r="H73" i="4"/>
  <c r="H89" i="4"/>
  <c r="H82" i="4"/>
  <c r="H98" i="4"/>
  <c r="H51" i="4"/>
  <c r="H83" i="4"/>
  <c r="H109" i="4"/>
  <c r="H144" i="4"/>
  <c r="H47" i="4"/>
  <c r="H100" i="4"/>
  <c r="H84" i="4"/>
  <c r="H68" i="4"/>
  <c r="H52" i="4"/>
  <c r="H63" i="4"/>
  <c r="H118" i="4"/>
  <c r="J54" i="4"/>
  <c r="K54" i="4"/>
  <c r="H86" i="4"/>
  <c r="H65" i="4"/>
  <c r="H97" i="4"/>
  <c r="H81" i="4"/>
  <c r="H62" i="4"/>
  <c r="H94" i="4"/>
  <c r="H126" i="4"/>
  <c r="P24" i="7"/>
  <c r="B14" i="12"/>
  <c r="D72" i="10" a="1"/>
  <c r="D72" i="10" s="1"/>
  <c r="B18" i="10" s="1"/>
  <c r="B20" i="10"/>
  <c r="B19" i="10"/>
  <c r="D18" i="12"/>
  <c r="D61" i="12"/>
  <c r="P33" i="136" l="1"/>
  <c r="C96" i="3" s="1"/>
  <c r="O25" i="136"/>
  <c r="B39" i="8" s="1"/>
  <c r="D48" i="9" s="1"/>
  <c r="P25" i="136"/>
  <c r="C88" i="3" s="1"/>
  <c r="N33" i="136"/>
  <c r="B96" i="3" s="1"/>
  <c r="O33" i="136"/>
  <c r="B47" i="8" s="1"/>
  <c r="N21" i="136"/>
  <c r="B84" i="3" s="1"/>
  <c r="P21" i="136"/>
  <c r="C84" i="3" s="1"/>
  <c r="D38" i="9"/>
  <c r="N32" i="136"/>
  <c r="B95" i="3" s="1"/>
  <c r="D95" i="3" s="1"/>
  <c r="O32" i="136"/>
  <c r="B46" i="8" s="1"/>
  <c r="D55" i="9" s="1"/>
  <c r="R3" i="136"/>
  <c r="R7" i="136"/>
  <c r="O16" i="136"/>
  <c r="B30" i="8" s="1"/>
  <c r="O35" i="136"/>
  <c r="B49" i="8" s="1"/>
  <c r="N35" i="136"/>
  <c r="B98" i="3" s="1"/>
  <c r="D98" i="3" s="1"/>
  <c r="E48" i="9"/>
  <c r="D39" i="9"/>
  <c r="D44" i="9"/>
  <c r="E44" i="9"/>
  <c r="D90" i="3"/>
  <c r="D79" i="3"/>
  <c r="D94" i="3"/>
  <c r="D77" i="3"/>
  <c r="D69" i="3"/>
  <c r="D75" i="3"/>
  <c r="D88" i="3"/>
  <c r="D96" i="3"/>
  <c r="D92" i="3"/>
  <c r="D84" i="3"/>
  <c r="D86" i="3"/>
  <c r="D82" i="3"/>
  <c r="P8" i="136"/>
  <c r="C71" i="3" s="1"/>
  <c r="E31" i="9" s="1"/>
  <c r="E20" i="8"/>
  <c r="S28" i="136"/>
  <c r="E37" i="8"/>
  <c r="E47" i="8"/>
  <c r="E46" i="8"/>
  <c r="E33" i="8"/>
  <c r="E41" i="8"/>
  <c r="E28" i="8"/>
  <c r="E39" i="8"/>
  <c r="N8" i="136"/>
  <c r="B71" i="3" s="1"/>
  <c r="E35" i="8"/>
  <c r="E45" i="8"/>
  <c r="Q15" i="136"/>
  <c r="N37" i="136"/>
  <c r="B100" i="3" s="1"/>
  <c r="V24" i="136"/>
  <c r="D38" i="8" s="1"/>
  <c r="R11" i="136"/>
  <c r="P4" i="136"/>
  <c r="C67" i="3" s="1"/>
  <c r="E27" i="9" s="1"/>
  <c r="V15" i="136"/>
  <c r="D29" i="8" s="1"/>
  <c r="O24" i="136"/>
  <c r="B38" i="8" s="1"/>
  <c r="D47" i="9" s="1"/>
  <c r="S15" i="136"/>
  <c r="O8" i="136"/>
  <c r="B22" i="8" s="1"/>
  <c r="D31" i="9" s="1"/>
  <c r="O4" i="136"/>
  <c r="B18" i="8" s="1"/>
  <c r="D27" i="9" s="1"/>
  <c r="N24" i="136"/>
  <c r="B87" i="3" s="1"/>
  <c r="Q24" i="136"/>
  <c r="O37" i="136"/>
  <c r="B51" i="8" s="1"/>
  <c r="P15" i="136"/>
  <c r="C78" i="3" s="1"/>
  <c r="N15" i="136"/>
  <c r="B78" i="3" s="1"/>
  <c r="O12" i="136"/>
  <c r="B26" i="8" s="1"/>
  <c r="D35" i="9" s="1"/>
  <c r="V12" i="136"/>
  <c r="D26" i="8" s="1"/>
  <c r="Q3" i="136"/>
  <c r="P12" i="136"/>
  <c r="C75" i="3" s="1"/>
  <c r="E35" i="9" s="1"/>
  <c r="N4" i="136"/>
  <c r="B67" i="3" s="1"/>
  <c r="O29" i="136"/>
  <c r="B43" i="8" s="1"/>
  <c r="V29" i="136"/>
  <c r="D43" i="8" s="1"/>
  <c r="P16" i="136"/>
  <c r="C79" i="3" s="1"/>
  <c r="E39" i="9" s="1"/>
  <c r="V16" i="136"/>
  <c r="D30" i="8" s="1"/>
  <c r="E49" i="8"/>
  <c r="R28" i="136"/>
  <c r="Q20" i="136"/>
  <c r="S32" i="136"/>
  <c r="E55" i="9" s="1"/>
  <c r="Q11" i="136"/>
  <c r="P29" i="136"/>
  <c r="C92" i="3" s="1"/>
  <c r="O20" i="136"/>
  <c r="B34" i="8" s="1"/>
  <c r="D43" i="9" s="1"/>
  <c r="P20" i="136"/>
  <c r="C83" i="3" s="1"/>
  <c r="E43" i="9" s="1"/>
  <c r="N20" i="136"/>
  <c r="B83" i="3" s="1"/>
  <c r="N3" i="136"/>
  <c r="B66" i="3" s="1"/>
  <c r="O3" i="136"/>
  <c r="B17" i="8" s="1"/>
  <c r="D26" i="9" s="1"/>
  <c r="P3" i="136"/>
  <c r="C66" i="3" s="1"/>
  <c r="E26" i="9" s="1"/>
  <c r="P7" i="136"/>
  <c r="C70" i="3" s="1"/>
  <c r="E30" i="9" s="1"/>
  <c r="N7" i="136"/>
  <c r="B70" i="3" s="1"/>
  <c r="O7" i="136"/>
  <c r="B21" i="8" s="1"/>
  <c r="D30" i="9" s="1"/>
  <c r="N34" i="136"/>
  <c r="B97" i="3" s="1"/>
  <c r="O34" i="136"/>
  <c r="B48" i="8" s="1"/>
  <c r="P34" i="136"/>
  <c r="C97" i="3" s="1"/>
  <c r="N28" i="136"/>
  <c r="B91" i="3" s="1"/>
  <c r="O28" i="136"/>
  <c r="B42" i="8" s="1"/>
  <c r="P28" i="136"/>
  <c r="C91" i="3" s="1"/>
  <c r="N11" i="136"/>
  <c r="B74" i="3" s="1"/>
  <c r="O11" i="136"/>
  <c r="B25" i="8" s="1"/>
  <c r="P11" i="136"/>
  <c r="C74" i="3" s="1"/>
  <c r="E34" i="9" s="1"/>
  <c r="S27" i="136"/>
  <c r="E50" i="9" s="1"/>
  <c r="R27" i="136"/>
  <c r="D50" i="9" s="1"/>
  <c r="Q27" i="136"/>
  <c r="N9" i="136"/>
  <c r="B72" i="3" s="1"/>
  <c r="O9" i="136"/>
  <c r="B23" i="8" s="1"/>
  <c r="P9" i="136"/>
  <c r="C72" i="3" s="1"/>
  <c r="S36" i="136"/>
  <c r="Q36" i="136"/>
  <c r="R36" i="136"/>
  <c r="O30" i="136"/>
  <c r="B44" i="8" s="1"/>
  <c r="P30" i="136"/>
  <c r="C93" i="3" s="1"/>
  <c r="N30" i="136"/>
  <c r="B93" i="3" s="1"/>
  <c r="R17" i="136"/>
  <c r="S17" i="136"/>
  <c r="Q17" i="136"/>
  <c r="S22" i="136"/>
  <c r="Q22" i="136"/>
  <c r="R22" i="136"/>
  <c r="S31" i="136"/>
  <c r="E54" i="9" s="1"/>
  <c r="R31" i="136"/>
  <c r="D54" i="9" s="1"/>
  <c r="Q31" i="136"/>
  <c r="R26" i="136"/>
  <c r="S26" i="136"/>
  <c r="Q26" i="136"/>
  <c r="R29" i="136"/>
  <c r="D52" i="9" s="1"/>
  <c r="Q29" i="136"/>
  <c r="S29" i="136"/>
  <c r="P36" i="136"/>
  <c r="C99" i="3" s="1"/>
  <c r="N36" i="136"/>
  <c r="B99" i="3" s="1"/>
  <c r="O36" i="136"/>
  <c r="B50" i="8" s="1"/>
  <c r="R30" i="136"/>
  <c r="S30" i="136"/>
  <c r="Q30" i="136"/>
  <c r="R33" i="136"/>
  <c r="D56" i="9" s="1"/>
  <c r="S33" i="136"/>
  <c r="E56" i="9" s="1"/>
  <c r="Q33" i="136"/>
  <c r="P17" i="136"/>
  <c r="C80" i="3" s="1"/>
  <c r="N17" i="136"/>
  <c r="B80" i="3" s="1"/>
  <c r="O17" i="136"/>
  <c r="B31" i="8" s="1"/>
  <c r="O22" i="136"/>
  <c r="B36" i="8" s="1"/>
  <c r="P22" i="136"/>
  <c r="C85" i="3" s="1"/>
  <c r="N22" i="136"/>
  <c r="B85" i="3" s="1"/>
  <c r="S14" i="136"/>
  <c r="E37" i="9" s="1"/>
  <c r="R14" i="136"/>
  <c r="D37" i="9" s="1"/>
  <c r="Q14" i="136"/>
  <c r="O26" i="136"/>
  <c r="B40" i="8" s="1"/>
  <c r="P26" i="136"/>
  <c r="C89" i="3" s="1"/>
  <c r="N26" i="136"/>
  <c r="B89" i="3" s="1"/>
  <c r="S19" i="136"/>
  <c r="E42" i="9" s="1"/>
  <c r="R19" i="136"/>
  <c r="D42" i="9" s="1"/>
  <c r="Q19" i="136"/>
  <c r="S13" i="136"/>
  <c r="Q13" i="136"/>
  <c r="R13" i="136"/>
  <c r="S23" i="136"/>
  <c r="E46" i="9" s="1"/>
  <c r="R23" i="136"/>
  <c r="D46" i="9" s="1"/>
  <c r="Q23" i="136"/>
  <c r="N5" i="136"/>
  <c r="B68" i="3" s="1"/>
  <c r="O5" i="136"/>
  <c r="B19" i="8" s="1"/>
  <c r="P5" i="136"/>
  <c r="C68" i="3" s="1"/>
  <c r="S37" i="136"/>
  <c r="E60" i="9" s="1"/>
  <c r="Q37" i="136"/>
  <c r="R37" i="136"/>
  <c r="Q9" i="136"/>
  <c r="R9" i="136"/>
  <c r="D32" i="9" s="1"/>
  <c r="S9" i="136"/>
  <c r="E32" i="9" s="1"/>
  <c r="S35" i="136"/>
  <c r="E58" i="9" s="1"/>
  <c r="R35" i="136"/>
  <c r="Q35" i="136"/>
  <c r="S6" i="136"/>
  <c r="E29" i="9" s="1"/>
  <c r="R6" i="136"/>
  <c r="D29" i="9" s="1"/>
  <c r="Q6" i="136"/>
  <c r="P13" i="136"/>
  <c r="C76" i="3" s="1"/>
  <c r="N13" i="136"/>
  <c r="B76" i="3" s="1"/>
  <c r="O13" i="136"/>
  <c r="B27" i="8" s="1"/>
  <c r="S34" i="136"/>
  <c r="Q34" i="136"/>
  <c r="R34" i="136"/>
  <c r="S5" i="136"/>
  <c r="Q5" i="136"/>
  <c r="R5" i="136"/>
  <c r="F76" i="14"/>
  <c r="D23" i="14" s="1"/>
  <c r="D22" i="14"/>
  <c r="F47" i="14"/>
  <c r="D73" i="14"/>
  <c r="C21" i="14"/>
  <c r="E12" i="14" s="1"/>
  <c r="K97" i="4"/>
  <c r="J97" i="4"/>
  <c r="E22" i="12"/>
  <c r="E17" i="12" s="1"/>
  <c r="C22" i="12"/>
  <c r="D57" i="9" l="1"/>
  <c r="D58" i="9"/>
  <c r="D60" i="9"/>
  <c r="E52" i="9"/>
  <c r="E57" i="9"/>
  <c r="E53" i="9"/>
  <c r="E36" i="9"/>
  <c r="E45" i="9"/>
  <c r="D28" i="9"/>
  <c r="E40" i="9"/>
  <c r="E28" i="9"/>
  <c r="D36" i="9"/>
  <c r="D49" i="9"/>
  <c r="D45" i="9"/>
  <c r="D51" i="9"/>
  <c r="E51" i="9"/>
  <c r="D40" i="9"/>
  <c r="D59" i="9"/>
  <c r="E38" i="9"/>
  <c r="D34" i="9"/>
  <c r="D53" i="9"/>
  <c r="E49" i="9"/>
  <c r="E59" i="9"/>
  <c r="E38" i="8"/>
  <c r="D91" i="3"/>
  <c r="D71" i="3"/>
  <c r="D76" i="3"/>
  <c r="D68" i="3"/>
  <c r="D85" i="3"/>
  <c r="D80" i="3"/>
  <c r="D74" i="3"/>
  <c r="D70" i="3"/>
  <c r="D66" i="3"/>
  <c r="D78" i="3"/>
  <c r="D87" i="3"/>
  <c r="D99" i="3"/>
  <c r="D83" i="3"/>
  <c r="D100" i="3"/>
  <c r="D89" i="3"/>
  <c r="D93" i="3"/>
  <c r="D72" i="3"/>
  <c r="D97" i="3"/>
  <c r="D67" i="3"/>
  <c r="E27" i="8"/>
  <c r="E19" i="8"/>
  <c r="E50" i="8"/>
  <c r="E48" i="8"/>
  <c r="E40" i="8"/>
  <c r="E44" i="8"/>
  <c r="E30" i="8"/>
  <c r="E29" i="8"/>
  <c r="E42" i="8"/>
  <c r="E26" i="8"/>
  <c r="E25" i="8"/>
  <c r="E21" i="8"/>
  <c r="E17" i="8"/>
  <c r="D75" i="14"/>
  <c r="D76" i="14" s="1"/>
  <c r="D82" i="14" s="1"/>
  <c r="C20" i="14"/>
  <c r="F18" i="12"/>
  <c r="D19" i="12"/>
  <c r="F19" i="12" s="1"/>
  <c r="D20" i="12"/>
  <c r="F20" i="12" s="1"/>
  <c r="D21" i="12"/>
  <c r="F21" i="12" s="1"/>
  <c r="D22" i="12"/>
  <c r="F22" i="12" s="1"/>
  <c r="D23" i="12"/>
  <c r="F23" i="12" s="1"/>
  <c r="D24" i="12"/>
  <c r="F24" i="12" s="1"/>
  <c r="D26" i="12"/>
  <c r="F26" i="12" s="1"/>
  <c r="D27" i="12"/>
  <c r="F27" i="12" s="1"/>
  <c r="D28" i="12"/>
  <c r="F28" i="12" s="1"/>
  <c r="D29" i="12"/>
  <c r="F29" i="12" s="1"/>
  <c r="D30" i="12"/>
  <c r="F30" i="12" s="1"/>
  <c r="D31" i="12"/>
  <c r="F31" i="12" s="1"/>
  <c r="D32" i="12"/>
  <c r="F32" i="12" s="1"/>
  <c r="D34" i="12"/>
  <c r="F34" i="12" s="1"/>
  <c r="D35" i="12"/>
  <c r="F35" i="12" s="1"/>
  <c r="D36" i="12"/>
  <c r="F36" i="12" s="1"/>
  <c r="D37" i="12"/>
  <c r="D38" i="12"/>
  <c r="F38" i="12" s="1"/>
  <c r="D39" i="12"/>
  <c r="F39" i="12" s="1"/>
  <c r="D40" i="12"/>
  <c r="F40" i="12" s="1"/>
  <c r="D41" i="12"/>
  <c r="D42" i="12"/>
  <c r="F42" i="12" s="1"/>
  <c r="D43" i="12"/>
  <c r="F43" i="12" s="1"/>
  <c r="D44" i="12"/>
  <c r="F44" i="12" s="1"/>
  <c r="D45" i="12"/>
  <c r="D46" i="12"/>
  <c r="F46" i="12" s="1"/>
  <c r="D47" i="12"/>
  <c r="F47" i="12" s="1"/>
  <c r="D48" i="12"/>
  <c r="F48" i="12" s="1"/>
  <c r="D49" i="12"/>
  <c r="D50" i="12"/>
  <c r="F50" i="12" s="1"/>
  <c r="D51" i="12"/>
  <c r="F51" i="12" s="1"/>
  <c r="D52" i="12"/>
  <c r="F52" i="12" s="1"/>
  <c r="E18" i="8" l="1"/>
  <c r="E36" i="8"/>
  <c r="E23" i="8"/>
  <c r="E22" i="8"/>
  <c r="E34" i="8"/>
  <c r="E43" i="8"/>
  <c r="E31" i="8"/>
  <c r="E51" i="8"/>
  <c r="B7" i="14"/>
  <c r="C7" i="14"/>
  <c r="G46" i="12"/>
  <c r="G42" i="12"/>
  <c r="G34" i="12"/>
  <c r="G20" i="12"/>
  <c r="G32" i="12"/>
  <c r="G19" i="12"/>
  <c r="G52" i="12"/>
  <c r="G48" i="12"/>
  <c r="G44" i="12"/>
  <c r="G40" i="12"/>
  <c r="G36" i="12"/>
  <c r="G31" i="12"/>
  <c r="G27" i="12"/>
  <c r="G22" i="12"/>
  <c r="G18" i="12"/>
  <c r="G50" i="12"/>
  <c r="G38" i="12"/>
  <c r="G29" i="12"/>
  <c r="G24" i="12"/>
  <c r="G28" i="12"/>
  <c r="G23" i="12"/>
  <c r="G51" i="12"/>
  <c r="G47" i="12"/>
  <c r="G43" i="12"/>
  <c r="G39" i="12"/>
  <c r="G35" i="12"/>
  <c r="G30" i="12"/>
  <c r="G21" i="12"/>
  <c r="F49" i="12"/>
  <c r="F45" i="12"/>
  <c r="F41" i="12"/>
  <c r="F37" i="12"/>
  <c r="G45" i="12" l="1"/>
  <c r="G37" i="12"/>
  <c r="G26" i="12"/>
  <c r="G49" i="12"/>
  <c r="G41" i="12"/>
  <c r="K201" i="7"/>
  <c r="L201" i="7" s="1"/>
  <c r="P14" i="7" s="1"/>
  <c r="E36" i="11"/>
  <c r="D36" i="11"/>
  <c r="C36" i="11"/>
  <c r="B36" i="11"/>
  <c r="E35" i="11"/>
  <c r="D35" i="11"/>
  <c r="C35" i="11"/>
  <c r="B35" i="11"/>
  <c r="F52" i="11" l="1"/>
  <c r="F53" i="11"/>
  <c r="F51" i="11"/>
  <c r="F50" i="11"/>
  <c r="G53" i="11"/>
  <c r="G50" i="11"/>
  <c r="G51" i="11"/>
  <c r="G52" i="11"/>
  <c r="N53" i="7"/>
  <c r="N58" i="7"/>
  <c r="N59" i="7" s="1"/>
  <c r="D201" i="20" l="1"/>
  <c r="D170" i="20"/>
  <c r="D174" i="20"/>
  <c r="D179" i="20"/>
  <c r="D183" i="20"/>
  <c r="D188" i="20"/>
  <c r="D192" i="20"/>
  <c r="D196" i="20"/>
  <c r="D200" i="20"/>
  <c r="D204" i="20"/>
  <c r="D173" i="20"/>
  <c r="D178" i="20"/>
  <c r="D182" i="20"/>
  <c r="D187" i="20"/>
  <c r="D191" i="20"/>
  <c r="D195" i="20"/>
  <c r="D199" i="20"/>
  <c r="D203" i="20"/>
  <c r="D172" i="20"/>
  <c r="D176" i="20"/>
  <c r="D181" i="20"/>
  <c r="D186" i="20"/>
  <c r="D190" i="20"/>
  <c r="D194" i="20"/>
  <c r="D198" i="20"/>
  <c r="D202" i="20"/>
  <c r="D171" i="20"/>
  <c r="D175" i="20"/>
  <c r="D180" i="20"/>
  <c r="D184" i="20"/>
  <c r="D189" i="20"/>
  <c r="D193" i="20"/>
  <c r="D197" i="20"/>
  <c r="F54" i="11"/>
  <c r="G54" i="11"/>
  <c r="N60" i="7"/>
  <c r="B171" i="20" l="1"/>
  <c r="B175" i="20"/>
  <c r="B180" i="20"/>
  <c r="B184" i="20"/>
  <c r="B172" i="20"/>
  <c r="B176" i="20"/>
  <c r="B181" i="20"/>
  <c r="B62" i="7" s="1"/>
  <c r="Q21" i="20" s="1"/>
  <c r="B186" i="20"/>
  <c r="B190" i="20"/>
  <c r="B194" i="20"/>
  <c r="B198" i="20"/>
  <c r="B202" i="20"/>
  <c r="B173" i="20"/>
  <c r="B54" i="7" s="1"/>
  <c r="B178" i="20"/>
  <c r="B182" i="20"/>
  <c r="B187" i="20"/>
  <c r="B191" i="20"/>
  <c r="B195" i="20"/>
  <c r="B199" i="20"/>
  <c r="B203" i="20"/>
  <c r="B170" i="20"/>
  <c r="B174" i="20"/>
  <c r="B179" i="20"/>
  <c r="B183" i="20"/>
  <c r="B188" i="20"/>
  <c r="B192" i="20"/>
  <c r="B196" i="20"/>
  <c r="B200" i="20"/>
  <c r="B204" i="20"/>
  <c r="B189" i="20"/>
  <c r="B70" i="7" s="1"/>
  <c r="B193" i="20"/>
  <c r="B74" i="7" s="1"/>
  <c r="Q33" i="20" s="1"/>
  <c r="B197" i="20"/>
  <c r="B201" i="20"/>
  <c r="D7" i="6"/>
  <c r="J7" i="7"/>
  <c r="M195" i="7"/>
  <c r="I8" i="7" s="1"/>
  <c r="M196" i="7"/>
  <c r="I9" i="7" s="1"/>
  <c r="M197" i="7"/>
  <c r="I10" i="7" s="1"/>
  <c r="M198" i="7"/>
  <c r="I11" i="7" s="1"/>
  <c r="M199" i="7"/>
  <c r="I12" i="7" s="1"/>
  <c r="M200" i="7"/>
  <c r="I13" i="7" s="1"/>
  <c r="M201" i="7"/>
  <c r="I14" i="7" s="1"/>
  <c r="J24" i="12" s="1"/>
  <c r="M203" i="7"/>
  <c r="I16" i="7" s="1"/>
  <c r="M204" i="7"/>
  <c r="I17" i="7" s="1"/>
  <c r="M205" i="7"/>
  <c r="I18" i="7" s="1"/>
  <c r="M206" i="7"/>
  <c r="I19" i="7" s="1"/>
  <c r="M207" i="7"/>
  <c r="I20" i="7" s="1"/>
  <c r="M208" i="7"/>
  <c r="I21" i="7" s="1"/>
  <c r="M209" i="7"/>
  <c r="I22" i="7" s="1"/>
  <c r="M211" i="7"/>
  <c r="I24" i="7" s="1"/>
  <c r="J34" i="12" s="1"/>
  <c r="M212" i="7"/>
  <c r="I25" i="7" s="1"/>
  <c r="M213" i="7"/>
  <c r="I26" i="7" s="1"/>
  <c r="M214" i="7"/>
  <c r="I27" i="7" s="1"/>
  <c r="M215" i="7"/>
  <c r="I28" i="7" s="1"/>
  <c r="M216" i="7"/>
  <c r="I29" i="7" s="1"/>
  <c r="M217" i="7"/>
  <c r="I30" i="7" s="1"/>
  <c r="M218" i="7"/>
  <c r="I31" i="7" s="1"/>
  <c r="M219" i="7"/>
  <c r="I32" i="7" s="1"/>
  <c r="M220" i="7"/>
  <c r="I33" i="7" s="1"/>
  <c r="M221" i="7"/>
  <c r="I34" i="7" s="1"/>
  <c r="M222" i="7"/>
  <c r="I35" i="7" s="1"/>
  <c r="M223" i="7"/>
  <c r="I36" i="7" s="1"/>
  <c r="M224" i="7"/>
  <c r="I37" i="7" s="1"/>
  <c r="M225" i="7"/>
  <c r="I38" i="7" s="1"/>
  <c r="M226" i="7"/>
  <c r="I39" i="7" s="1"/>
  <c r="M227" i="7"/>
  <c r="I40" i="7" s="1"/>
  <c r="M228" i="7"/>
  <c r="I41" i="7" s="1"/>
  <c r="M229" i="7"/>
  <c r="I42" i="7" s="1"/>
  <c r="B36" i="13"/>
  <c r="B37" i="13"/>
  <c r="B38" i="13"/>
  <c r="B39" i="13"/>
  <c r="B40" i="13"/>
  <c r="B41" i="13"/>
  <c r="B42" i="13"/>
  <c r="B43" i="13"/>
  <c r="B44" i="13"/>
  <c r="B45" i="13"/>
  <c r="B46" i="13"/>
  <c r="B47" i="13"/>
  <c r="B48" i="13"/>
  <c r="B49" i="13"/>
  <c r="B50" i="13"/>
  <c r="B51" i="13"/>
  <c r="B52" i="13"/>
  <c r="B53" i="13"/>
  <c r="B54" i="13"/>
  <c r="C20" i="13"/>
  <c r="C21" i="13"/>
  <c r="C22" i="13"/>
  <c r="C23" i="13"/>
  <c r="C24" i="13"/>
  <c r="C25" i="13"/>
  <c r="C26" i="13"/>
  <c r="C28" i="13"/>
  <c r="C29" i="13"/>
  <c r="C30" i="13"/>
  <c r="C31" i="13"/>
  <c r="C32" i="13"/>
  <c r="C33" i="13"/>
  <c r="C34" i="13"/>
  <c r="C36" i="13"/>
  <c r="C37" i="13"/>
  <c r="C38" i="13"/>
  <c r="C39" i="13"/>
  <c r="C40" i="13"/>
  <c r="C41" i="13"/>
  <c r="C42" i="13"/>
  <c r="C43" i="13"/>
  <c r="C44" i="13"/>
  <c r="C45" i="13"/>
  <c r="C46" i="13"/>
  <c r="C47" i="13"/>
  <c r="C48" i="13"/>
  <c r="C49" i="13"/>
  <c r="C50" i="13"/>
  <c r="C51" i="13"/>
  <c r="C52" i="13"/>
  <c r="C53" i="13"/>
  <c r="C54" i="13"/>
  <c r="B20" i="13"/>
  <c r="B21" i="13"/>
  <c r="B22" i="13"/>
  <c r="B23" i="13"/>
  <c r="B24" i="13"/>
  <c r="B25" i="13"/>
  <c r="B26" i="13"/>
  <c r="B28" i="13"/>
  <c r="B29" i="13"/>
  <c r="B30" i="13"/>
  <c r="B31" i="13"/>
  <c r="B32" i="13"/>
  <c r="B33" i="13"/>
  <c r="B34" i="13"/>
  <c r="C148" i="7"/>
  <c r="D148" i="7" s="1"/>
  <c r="C147" i="7"/>
  <c r="D147" i="7" s="1"/>
  <c r="C135" i="7"/>
  <c r="D135" i="7" s="1"/>
  <c r="C136" i="7"/>
  <c r="G136" i="7" s="1"/>
  <c r="C141" i="7"/>
  <c r="D141" i="7" s="1"/>
  <c r="C138" i="7"/>
  <c r="G138" i="7" s="1"/>
  <c r="C146" i="7"/>
  <c r="D146" i="7" s="1"/>
  <c r="C139" i="7"/>
  <c r="G139" i="7" s="1"/>
  <c r="C144" i="7"/>
  <c r="G144" i="7" s="1"/>
  <c r="C137" i="7"/>
  <c r="G137" i="7" s="1"/>
  <c r="C149" i="7"/>
  <c r="D149" i="7" s="1"/>
  <c r="C145" i="7"/>
  <c r="D145" i="7" s="1"/>
  <c r="C143" i="7"/>
  <c r="D143" i="7" s="1"/>
  <c r="F169" i="7"/>
  <c r="F168" i="7"/>
  <c r="F167" i="7"/>
  <c r="F166" i="7"/>
  <c r="F165" i="7"/>
  <c r="F164" i="7"/>
  <c r="F163" i="7"/>
  <c r="F162" i="7"/>
  <c r="F161" i="7"/>
  <c r="C169" i="7"/>
  <c r="D169" i="7" s="1"/>
  <c r="C168" i="7"/>
  <c r="D168" i="7" s="1"/>
  <c r="C167" i="7"/>
  <c r="D167" i="7" s="1"/>
  <c r="C166" i="7"/>
  <c r="C165" i="7"/>
  <c r="D165" i="7" s="1"/>
  <c r="C164" i="7"/>
  <c r="D164" i="7" s="1"/>
  <c r="C163" i="7"/>
  <c r="D163" i="7" s="1"/>
  <c r="C162" i="7"/>
  <c r="D162" i="7" s="1"/>
  <c r="C161" i="7"/>
  <c r="D161" i="7" s="1"/>
  <c r="C160" i="7"/>
  <c r="D160" i="7" s="1"/>
  <c r="F160" i="7"/>
  <c r="C159" i="7"/>
  <c r="D159" i="7" s="1"/>
  <c r="F159" i="7"/>
  <c r="C158" i="7"/>
  <c r="D158" i="7" s="1"/>
  <c r="F158" i="7"/>
  <c r="C157" i="7"/>
  <c r="D157" i="7" s="1"/>
  <c r="F157" i="7"/>
  <c r="C156" i="7"/>
  <c r="D156" i="7" s="1"/>
  <c r="F156" i="7"/>
  <c r="C155" i="7"/>
  <c r="F155" i="7"/>
  <c r="C154" i="7"/>
  <c r="F154" i="7"/>
  <c r="C153" i="7"/>
  <c r="D153" i="7" s="1"/>
  <c r="F153" i="7"/>
  <c r="C152" i="7"/>
  <c r="D152" i="7" s="1"/>
  <c r="F152" i="7"/>
  <c r="C151" i="7"/>
  <c r="F151" i="7"/>
  <c r="F142" i="7"/>
  <c r="C140" i="7"/>
  <c r="D140" i="7" s="1"/>
  <c r="F140" i="7"/>
  <c r="F134" i="7"/>
  <c r="C134" i="7"/>
  <c r="B18" i="9" s="1"/>
  <c r="D13" i="9" s="1"/>
  <c r="B139" i="7"/>
  <c r="B134" i="7" s="1"/>
  <c r="AY42" i="20" l="1"/>
  <c r="R42" i="20"/>
  <c r="S42" i="20"/>
  <c r="Q42" i="20"/>
  <c r="AY18" i="20"/>
  <c r="S18" i="20"/>
  <c r="Q18" i="20"/>
  <c r="R18" i="20"/>
  <c r="I70" i="12"/>
  <c r="AY23" i="20"/>
  <c r="S23" i="20"/>
  <c r="Q23" i="20"/>
  <c r="R23" i="20"/>
  <c r="AY33" i="20"/>
  <c r="S33" i="20"/>
  <c r="R33" i="20"/>
  <c r="AY39" i="20"/>
  <c r="Q39" i="20"/>
  <c r="R39" i="20"/>
  <c r="S39" i="20"/>
  <c r="AY28" i="20"/>
  <c r="S28" i="20"/>
  <c r="Q28" i="20"/>
  <c r="R28" i="20"/>
  <c r="AY32" i="20"/>
  <c r="R32" i="20"/>
  <c r="S32" i="20"/>
  <c r="Q32" i="20"/>
  <c r="AY34" i="20"/>
  <c r="R34" i="20"/>
  <c r="Q34" i="20"/>
  <c r="S34" i="20"/>
  <c r="AY37" i="20"/>
  <c r="S37" i="20"/>
  <c r="Q37" i="20"/>
  <c r="R37" i="20"/>
  <c r="AY22" i="20"/>
  <c r="S22" i="20"/>
  <c r="R22" i="20"/>
  <c r="Q22" i="20"/>
  <c r="AY38" i="20"/>
  <c r="R38" i="20"/>
  <c r="S38" i="20"/>
  <c r="Q38" i="20"/>
  <c r="AY27" i="20"/>
  <c r="S27" i="20"/>
  <c r="Q27" i="20"/>
  <c r="R27" i="20"/>
  <c r="AY35" i="20"/>
  <c r="S35" i="20"/>
  <c r="R35" i="20"/>
  <c r="Q35" i="20"/>
  <c r="AY15" i="20"/>
  <c r="Q15" i="20"/>
  <c r="S15" i="20"/>
  <c r="R15" i="20"/>
  <c r="AY16" i="20"/>
  <c r="Q16" i="20"/>
  <c r="S16" i="20"/>
  <c r="R16" i="20"/>
  <c r="AY31" i="20"/>
  <c r="Q31" i="20"/>
  <c r="S31" i="20"/>
  <c r="R31" i="20"/>
  <c r="AY43" i="20"/>
  <c r="S43" i="20"/>
  <c r="Q43" i="20"/>
  <c r="R43" i="20"/>
  <c r="AY20" i="20"/>
  <c r="Q20" i="20"/>
  <c r="R20" i="20"/>
  <c r="S20" i="20"/>
  <c r="AY36" i="20"/>
  <c r="S36" i="20"/>
  <c r="Q36" i="20"/>
  <c r="R36" i="20"/>
  <c r="AY40" i="20"/>
  <c r="S40" i="20"/>
  <c r="R40" i="20"/>
  <c r="Q40" i="20"/>
  <c r="AY44" i="20"/>
  <c r="S44" i="20"/>
  <c r="Q44" i="20"/>
  <c r="R44" i="20"/>
  <c r="AY24" i="20"/>
  <c r="Q24" i="20"/>
  <c r="R24" i="20"/>
  <c r="S24" i="20"/>
  <c r="AY21" i="20"/>
  <c r="R21" i="20"/>
  <c r="S21" i="20"/>
  <c r="AY10" i="20"/>
  <c r="Q10" i="20"/>
  <c r="S10" i="20"/>
  <c r="R10" i="20"/>
  <c r="D41" i="13"/>
  <c r="E41" i="13"/>
  <c r="D45" i="13"/>
  <c r="E45" i="13"/>
  <c r="D53" i="13"/>
  <c r="E53" i="13"/>
  <c r="E30" i="13"/>
  <c r="D30" i="13"/>
  <c r="Q229" i="7"/>
  <c r="Q221" i="7"/>
  <c r="Q213" i="7"/>
  <c r="Q195" i="7"/>
  <c r="E54" i="13"/>
  <c r="D54" i="13"/>
  <c r="E34" i="13"/>
  <c r="D34" i="13"/>
  <c r="D20" i="13"/>
  <c r="E20" i="13"/>
  <c r="Q228" i="7"/>
  <c r="Q220" i="7"/>
  <c r="Q212" i="7"/>
  <c r="Q207" i="7"/>
  <c r="D25" i="13"/>
  <c r="E25" i="13"/>
  <c r="D151" i="7"/>
  <c r="C142" i="7" a="1"/>
  <c r="C142" i="7" s="1"/>
  <c r="D142" i="7" s="1"/>
  <c r="E38" i="13"/>
  <c r="D38" i="13"/>
  <c r="D42" i="13"/>
  <c r="E42" i="13"/>
  <c r="E44" i="13"/>
  <c r="D44" i="13"/>
  <c r="D47" i="13"/>
  <c r="E47" i="13"/>
  <c r="E32" i="13"/>
  <c r="D32" i="13"/>
  <c r="Q227" i="7"/>
  <c r="Q223" i="7"/>
  <c r="Q219" i="7"/>
  <c r="Q211" i="7"/>
  <c r="Q206" i="7"/>
  <c r="Q201" i="7"/>
  <c r="D37" i="13"/>
  <c r="E37" i="13"/>
  <c r="E43" i="13"/>
  <c r="D43" i="13"/>
  <c r="E49" i="13"/>
  <c r="D49" i="13"/>
  <c r="Q225" i="7"/>
  <c r="Q217" i="7"/>
  <c r="Q208" i="7"/>
  <c r="E46" i="13"/>
  <c r="D46" i="13"/>
  <c r="E50" i="13"/>
  <c r="D50" i="13"/>
  <c r="E31" i="13"/>
  <c r="D31" i="13"/>
  <c r="Q224" i="7"/>
  <c r="Q216" i="7"/>
  <c r="Q203" i="7"/>
  <c r="D48" i="13"/>
  <c r="E48" i="13"/>
  <c r="D52" i="13"/>
  <c r="E52" i="13"/>
  <c r="D28" i="13"/>
  <c r="E28" i="13"/>
  <c r="D26" i="13"/>
  <c r="E26" i="13"/>
  <c r="D33" i="13"/>
  <c r="E33" i="13"/>
  <c r="Q222" i="7"/>
  <c r="Q218" i="7"/>
  <c r="Q209" i="7"/>
  <c r="Q205" i="7"/>
  <c r="Q200" i="7"/>
  <c r="G145" i="7"/>
  <c r="G165" i="7"/>
  <c r="G140" i="7"/>
  <c r="G143" i="7"/>
  <c r="D144" i="7"/>
  <c r="G162" i="7"/>
  <c r="D134" i="7"/>
  <c r="G134" i="7"/>
  <c r="G148" i="7"/>
  <c r="G141" i="7"/>
  <c r="G147" i="7"/>
  <c r="G151" i="7"/>
  <c r="G153" i="7"/>
  <c r="G159" i="7"/>
  <c r="G167" i="7"/>
  <c r="D138" i="7"/>
  <c r="D136" i="7"/>
  <c r="G158" i="7"/>
  <c r="G160" i="7"/>
  <c r="G166" i="7"/>
  <c r="G146" i="7"/>
  <c r="G135" i="7"/>
  <c r="D19" i="3" s="1"/>
  <c r="G155" i="7"/>
  <c r="G157" i="7"/>
  <c r="G161" i="7"/>
  <c r="G164" i="7"/>
  <c r="G168" i="7"/>
  <c r="D139" i="7"/>
  <c r="G149" i="7"/>
  <c r="D155" i="7"/>
  <c r="G152" i="7"/>
  <c r="G154" i="7"/>
  <c r="G156" i="7"/>
  <c r="D166" i="7"/>
  <c r="D154" i="7"/>
  <c r="D137" i="7"/>
  <c r="G169" i="7"/>
  <c r="G163" i="7"/>
  <c r="Q198" i="7" l="1"/>
  <c r="AY13" i="20"/>
  <c r="S13" i="20"/>
  <c r="R13" i="20"/>
  <c r="AY29" i="20"/>
  <c r="R29" i="20"/>
  <c r="S29" i="20"/>
  <c r="Q29" i="20"/>
  <c r="AY12" i="20"/>
  <c r="S12" i="20"/>
  <c r="R12" i="20"/>
  <c r="Q12" i="20"/>
  <c r="AY14" i="20"/>
  <c r="R14" i="20"/>
  <c r="Q14" i="20"/>
  <c r="S14" i="20"/>
  <c r="Q226" i="7"/>
  <c r="AY41" i="20"/>
  <c r="S41" i="20"/>
  <c r="Q41" i="20"/>
  <c r="R41" i="20"/>
  <c r="Q215" i="7"/>
  <c r="AY30" i="20"/>
  <c r="S30" i="20"/>
  <c r="Q30" i="20"/>
  <c r="R30" i="20"/>
  <c r="AY26" i="20"/>
  <c r="AY17" i="20" s="1"/>
  <c r="F17" i="20" a="1"/>
  <c r="F17" i="20" s="1"/>
  <c r="F9" i="20" s="1" a="1"/>
  <c r="F9" i="20" s="1"/>
  <c r="K58" i="7" a="1"/>
  <c r="K58" i="7" s="1"/>
  <c r="F56" i="20" a="1"/>
  <c r="F56" i="20" s="1"/>
  <c r="F48" i="20" s="1" a="1"/>
  <c r="F48" i="20" s="1"/>
  <c r="G58" i="7" a="1"/>
  <c r="G58" i="7" s="1"/>
  <c r="G50" i="7" s="1" a="1"/>
  <c r="G50" i="7" s="1"/>
  <c r="F95" i="20" a="1"/>
  <c r="F95" i="20" s="1"/>
  <c r="F87" i="20" s="1" a="1"/>
  <c r="F87" i="20" s="1"/>
  <c r="R26" i="20"/>
  <c r="S26" i="20"/>
  <c r="Q26" i="20"/>
  <c r="AY11" i="20"/>
  <c r="S11" i="20"/>
  <c r="R11" i="20"/>
  <c r="Q11" i="20"/>
  <c r="Q204" i="7"/>
  <c r="AY19" i="20"/>
  <c r="R19" i="20"/>
  <c r="Q19" i="20"/>
  <c r="S19" i="20"/>
  <c r="Q13" i="20"/>
  <c r="G142" i="7"/>
  <c r="N17" i="20" a="1"/>
  <c r="N17" i="20" s="1"/>
  <c r="N9" i="20" s="1" a="1"/>
  <c r="N9" i="20" s="1"/>
  <c r="J17" i="20" a="1"/>
  <c r="J17" i="20" s="1"/>
  <c r="J9" i="20" s="1" a="1"/>
  <c r="J9" i="20" s="1"/>
  <c r="N56" i="20" a="1"/>
  <c r="N56" i="20" s="1"/>
  <c r="N48" i="20" s="1" a="1"/>
  <c r="N48" i="20" s="1"/>
  <c r="J56" i="20" a="1"/>
  <c r="J56" i="20" s="1"/>
  <c r="G56" i="20" a="1"/>
  <c r="G56" i="20" s="1"/>
  <c r="G48" i="20" s="1" a="1"/>
  <c r="G48" i="20" s="1"/>
  <c r="J95" i="20" a="1"/>
  <c r="J95" i="20" s="1"/>
  <c r="J87" i="20" s="1" a="1"/>
  <c r="J87" i="20" s="1"/>
  <c r="N95" i="20" a="1"/>
  <c r="N95" i="20" s="1"/>
  <c r="N87" i="20" s="1" a="1"/>
  <c r="N87" i="20" s="1"/>
  <c r="D17" i="20" a="1"/>
  <c r="D17" i="20" s="1"/>
  <c r="P101" i="7" a="1"/>
  <c r="P101" i="7" s="1"/>
  <c r="N101" i="7" a="1"/>
  <c r="N101" i="7" s="1"/>
  <c r="E101" i="7" s="1"/>
  <c r="C10" i="129" s="1"/>
  <c r="E95" i="20" a="1"/>
  <c r="E95" i="20" s="1"/>
  <c r="E56" i="20" a="1"/>
  <c r="E56" i="20" s="1"/>
  <c r="E48" i="20" s="1" a="1"/>
  <c r="E48" i="20" s="1"/>
  <c r="I17" i="20" a="1"/>
  <c r="I17" i="20" s="1"/>
  <c r="I9" i="20" s="1" a="1"/>
  <c r="I9" i="20" s="1"/>
  <c r="C56" i="20" a="1"/>
  <c r="C56" i="20" s="1"/>
  <c r="C48" i="20" s="1" a="1"/>
  <c r="C48" i="20" s="1"/>
  <c r="O95" i="20" a="1"/>
  <c r="O95" i="20" s="1"/>
  <c r="O87" i="20" s="1" a="1"/>
  <c r="O87" i="20" s="1"/>
  <c r="O101" i="7" a="1"/>
  <c r="O101" i="7" s="1"/>
  <c r="D95" i="20" a="1"/>
  <c r="D95" i="20" s="1"/>
  <c r="M17" i="20" a="1"/>
  <c r="M17" i="20" s="1"/>
  <c r="M9" i="20" s="1" a="1"/>
  <c r="M9" i="20" s="1"/>
  <c r="K95" i="20" a="1"/>
  <c r="K95" i="20" s="1"/>
  <c r="K87" i="20" s="1" a="1"/>
  <c r="K87" i="20" s="1"/>
  <c r="C17" i="20" a="1"/>
  <c r="C17" i="20" s="1"/>
  <c r="C9" i="20" s="1" a="1"/>
  <c r="C9" i="20" s="1"/>
  <c r="K101" i="7" a="1"/>
  <c r="K101" i="7" s="1"/>
  <c r="G17" i="20" a="1"/>
  <c r="G17" i="20" s="1"/>
  <c r="G9" i="20" s="1" a="1"/>
  <c r="G9" i="20" s="1"/>
  <c r="L17" i="20" a="1"/>
  <c r="L17" i="20" s="1"/>
  <c r="L9" i="20" s="1" a="1"/>
  <c r="L9" i="20" s="1"/>
  <c r="H17" i="20" a="1"/>
  <c r="H17" i="20" s="1"/>
  <c r="H9" i="20" s="1" a="1"/>
  <c r="H9" i="20" s="1"/>
  <c r="L56" i="20" a="1"/>
  <c r="L56" i="20" s="1"/>
  <c r="L48" i="20" s="1" a="1"/>
  <c r="L48" i="20" s="1"/>
  <c r="H56" i="20" a="1"/>
  <c r="H56" i="20" s="1"/>
  <c r="H48" i="20" s="1" a="1"/>
  <c r="H48" i="20" s="1"/>
  <c r="H95" i="20" a="1"/>
  <c r="H95" i="20" s="1"/>
  <c r="H87" i="20" s="1" a="1"/>
  <c r="H87" i="20" s="1"/>
  <c r="L95" i="20" a="1"/>
  <c r="L95" i="20" s="1"/>
  <c r="L87" i="20" s="1" a="1"/>
  <c r="L87" i="20" s="1"/>
  <c r="G95" i="20" a="1"/>
  <c r="G95" i="20" s="1"/>
  <c r="G87" i="20" s="1" a="1"/>
  <c r="G87" i="20" s="1"/>
  <c r="B17" i="20" a="1"/>
  <c r="B17" i="20" s="1"/>
  <c r="B9" i="20" s="1" a="1"/>
  <c r="B9" i="20" s="1"/>
  <c r="L101" i="7" a="1"/>
  <c r="L101" i="7" s="1"/>
  <c r="C101" i="7" s="1"/>
  <c r="C10" i="127" s="1"/>
  <c r="C95" i="20" a="1"/>
  <c r="C95" i="20" s="1"/>
  <c r="I56" i="20" a="1"/>
  <c r="I56" i="20" s="1"/>
  <c r="I48" i="20" s="1" a="1"/>
  <c r="I48" i="20" s="1"/>
  <c r="D56" i="20" a="1"/>
  <c r="D56" i="20" s="1"/>
  <c r="D48" i="20" s="1" a="1"/>
  <c r="D48" i="20" s="1"/>
  <c r="O17" i="20" a="1"/>
  <c r="O17" i="20" s="1"/>
  <c r="O9" i="20" s="1" a="1"/>
  <c r="O9" i="20" s="1"/>
  <c r="K17" i="20" a="1"/>
  <c r="K17" i="20" s="1"/>
  <c r="K9" i="20" s="1" a="1"/>
  <c r="K9" i="20" s="1"/>
  <c r="O56" i="20" a="1"/>
  <c r="O56" i="20" s="1"/>
  <c r="O48" i="20" s="1" a="1"/>
  <c r="O48" i="20" s="1"/>
  <c r="K56" i="20" a="1"/>
  <c r="K56" i="20" s="1"/>
  <c r="K48" i="20" s="1" a="1"/>
  <c r="K48" i="20" s="1"/>
  <c r="I95" i="20" a="1"/>
  <c r="I95" i="20" s="1"/>
  <c r="I87" i="20" s="1" a="1"/>
  <c r="I87" i="20" s="1"/>
  <c r="M95" i="20" a="1"/>
  <c r="M95" i="20" s="1"/>
  <c r="M87" i="20" s="1" a="1"/>
  <c r="M87" i="20" s="1"/>
  <c r="E17" i="20" a="1"/>
  <c r="E17" i="20" s="1"/>
  <c r="E9" i="20" s="1" a="1"/>
  <c r="E9" i="20" s="1"/>
  <c r="S101" i="7" a="1"/>
  <c r="S101" i="7" s="1"/>
  <c r="R101" i="7" a="1"/>
  <c r="R101" i="7" s="1"/>
  <c r="M101" i="7" a="1"/>
  <c r="M101" i="7" s="1"/>
  <c r="B95" i="20" a="1"/>
  <c r="B95" i="20" s="1"/>
  <c r="M56" i="20" a="1"/>
  <c r="M56" i="20" s="1"/>
  <c r="M48" i="20" s="1" a="1"/>
  <c r="M48" i="20" s="1"/>
  <c r="Q101" i="7" a="1"/>
  <c r="Q101" i="7" s="1"/>
  <c r="H101" i="7" s="1"/>
  <c r="B10" i="128" s="1"/>
  <c r="B56" i="20" a="1"/>
  <c r="B56" i="20" s="1"/>
  <c r="B48" i="20" s="1" a="1"/>
  <c r="B48" i="20" s="1"/>
  <c r="J48" i="20" a="1"/>
  <c r="J48" i="20" s="1"/>
  <c r="D9" i="20" a="1"/>
  <c r="D9" i="20" s="1"/>
  <c r="C23" i="8"/>
  <c r="F23" i="8" s="1"/>
  <c r="C28" i="8"/>
  <c r="F28" i="8" s="1"/>
  <c r="C34" i="8"/>
  <c r="F34" i="8" s="1"/>
  <c r="C39" i="8"/>
  <c r="F39" i="8" s="1"/>
  <c r="C22" i="8"/>
  <c r="F22" i="8" s="1"/>
  <c r="C27" i="8"/>
  <c r="F27" i="8" s="1"/>
  <c r="C42" i="8"/>
  <c r="F42" i="8" s="1"/>
  <c r="C47" i="8"/>
  <c r="F47" i="8" s="1"/>
  <c r="C43" i="8"/>
  <c r="F43" i="8" s="1"/>
  <c r="C40" i="8"/>
  <c r="F40" i="8" s="1"/>
  <c r="C29" i="8"/>
  <c r="F29" i="8" s="1"/>
  <c r="C44" i="8"/>
  <c r="F44" i="8" s="1"/>
  <c r="C41" i="8"/>
  <c r="F41" i="8" s="1"/>
  <c r="C50" i="8"/>
  <c r="F50" i="8" s="1"/>
  <c r="C38" i="8"/>
  <c r="F38" i="8" s="1"/>
  <c r="F4" i="109"/>
  <c r="C31" i="8"/>
  <c r="F31" i="8" s="1"/>
  <c r="C51" i="8"/>
  <c r="F51" i="8" s="1"/>
  <c r="C30" i="8"/>
  <c r="F30" i="8" s="1"/>
  <c r="C25" i="8"/>
  <c r="F25" i="8" s="1"/>
  <c r="C49" i="8"/>
  <c r="F49" i="8" s="1"/>
  <c r="C45" i="8"/>
  <c r="F45" i="8" s="1"/>
  <c r="C46" i="8"/>
  <c r="F46" i="8" s="1"/>
  <c r="C35" i="8"/>
  <c r="F35" i="8" s="1"/>
  <c r="Q214" i="7"/>
  <c r="E22" i="13"/>
  <c r="C6" i="114" s="1"/>
  <c r="D22" i="13"/>
  <c r="D6" i="112" s="1"/>
  <c r="D24" i="13"/>
  <c r="D8" i="112" s="1"/>
  <c r="E24" i="13"/>
  <c r="C8" i="114" s="1"/>
  <c r="E21" i="13"/>
  <c r="C5" i="114" s="1"/>
  <c r="D21" i="13"/>
  <c r="D5" i="112" s="1"/>
  <c r="E29" i="13"/>
  <c r="C13" i="114" s="1"/>
  <c r="D29" i="13"/>
  <c r="D13" i="112" s="1"/>
  <c r="Q196" i="7"/>
  <c r="E39" i="13"/>
  <c r="C23" i="114" s="1"/>
  <c r="D39" i="13"/>
  <c r="D23" i="112" s="1"/>
  <c r="E23" i="13"/>
  <c r="C7" i="114" s="1"/>
  <c r="D23" i="13"/>
  <c r="D7" i="112" s="1"/>
  <c r="I58" i="7" a="1"/>
  <c r="I58" i="7" s="1"/>
  <c r="E51" i="13"/>
  <c r="C35" i="114" s="1"/>
  <c r="D51" i="13"/>
  <c r="D35" i="112" s="1"/>
  <c r="D40" i="13"/>
  <c r="D24" i="112" s="1"/>
  <c r="E40" i="13"/>
  <c r="C24" i="114" s="1"/>
  <c r="J58" i="7" a="1"/>
  <c r="J58" i="7" s="1"/>
  <c r="Q199" i="7"/>
  <c r="Q197" i="7"/>
  <c r="C139" i="20" a="1"/>
  <c r="C139" i="20" s="1"/>
  <c r="C131" i="20" s="1" a="1"/>
  <c r="C131" i="20" s="1"/>
  <c r="B139" i="20" a="1"/>
  <c r="B139" i="20" s="1"/>
  <c r="B131" i="20" s="1" a="1"/>
  <c r="B131" i="20" s="1"/>
  <c r="H58" i="7" a="1"/>
  <c r="H58" i="7" s="1"/>
  <c r="D139" i="20" a="1"/>
  <c r="D139" i="20" s="1"/>
  <c r="D131" i="20" s="1" a="1"/>
  <c r="D131" i="20" s="1"/>
  <c r="E139" i="20" a="1"/>
  <c r="E139" i="20" s="1"/>
  <c r="E131" i="20" s="1" a="1"/>
  <c r="E131" i="20" s="1"/>
  <c r="D36" i="13"/>
  <c r="D20" i="112" s="1"/>
  <c r="E36" i="13"/>
  <c r="C20" i="114" s="1"/>
  <c r="P211" i="7"/>
  <c r="N34" i="12"/>
  <c r="J18" i="128" s="1"/>
  <c r="B14" i="10"/>
  <c r="B289" i="7"/>
  <c r="D289" i="7"/>
  <c r="F289" i="7"/>
  <c r="H289" i="7"/>
  <c r="J289" i="7"/>
  <c r="L289" i="7"/>
  <c r="K288" i="7"/>
  <c r="I288" i="7"/>
  <c r="G288" i="7"/>
  <c r="E288" i="7"/>
  <c r="C288" i="7"/>
  <c r="K282" i="7"/>
  <c r="K283" i="7"/>
  <c r="K284" i="7"/>
  <c r="K285" i="7"/>
  <c r="K286" i="7"/>
  <c r="K287" i="7"/>
  <c r="I287" i="7"/>
  <c r="I282" i="7"/>
  <c r="I283" i="7"/>
  <c r="I284" i="7"/>
  <c r="I285" i="7"/>
  <c r="I286" i="7"/>
  <c r="K281" i="7"/>
  <c r="I281" i="7"/>
  <c r="G282" i="7"/>
  <c r="G283" i="7"/>
  <c r="G284" i="7"/>
  <c r="G285" i="7"/>
  <c r="G286" i="7"/>
  <c r="G287" i="7"/>
  <c r="G281" i="7"/>
  <c r="E282" i="7"/>
  <c r="E283" i="7"/>
  <c r="E284" i="7"/>
  <c r="E285" i="7"/>
  <c r="E286" i="7"/>
  <c r="E287" i="7"/>
  <c r="E281" i="7"/>
  <c r="C282" i="7"/>
  <c r="C283" i="7"/>
  <c r="C284" i="7"/>
  <c r="C285" i="7"/>
  <c r="C286" i="7"/>
  <c r="C287" i="7"/>
  <c r="C281" i="7"/>
  <c r="H13" i="11"/>
  <c r="H14" i="11"/>
  <c r="H15" i="11"/>
  <c r="H16" i="11"/>
  <c r="H17" i="11"/>
  <c r="H18" i="11"/>
  <c r="H19" i="11"/>
  <c r="H20" i="11"/>
  <c r="H21" i="11"/>
  <c r="H22" i="11"/>
  <c r="H23" i="11"/>
  <c r="H24" i="11"/>
  <c r="H25" i="11"/>
  <c r="H26" i="11"/>
  <c r="H27" i="11"/>
  <c r="H12" i="11"/>
  <c r="B246" i="7"/>
  <c r="C246" i="7" s="1"/>
  <c r="K195" i="7"/>
  <c r="L195" i="7" s="1"/>
  <c r="B15" i="10"/>
  <c r="B8" i="10"/>
  <c r="D21" i="109"/>
  <c r="D21" i="111"/>
  <c r="D21" i="112"/>
  <c r="C21" i="114"/>
  <c r="D22" i="109"/>
  <c r="D22" i="111"/>
  <c r="D22" i="112"/>
  <c r="C22" i="114"/>
  <c r="D23" i="109"/>
  <c r="D23" i="111"/>
  <c r="D24" i="109"/>
  <c r="D24" i="111"/>
  <c r="D25" i="109"/>
  <c r="D25" i="111"/>
  <c r="D25" i="112"/>
  <c r="C25" i="114"/>
  <c r="D26" i="109"/>
  <c r="D26" i="111"/>
  <c r="D26" i="112"/>
  <c r="C26" i="114"/>
  <c r="D27" i="109"/>
  <c r="D27" i="111"/>
  <c r="D27" i="112"/>
  <c r="C27" i="114"/>
  <c r="D28" i="109"/>
  <c r="D28" i="111"/>
  <c r="D28" i="112"/>
  <c r="C28" i="114"/>
  <c r="D29" i="109"/>
  <c r="D29" i="111"/>
  <c r="D29" i="112"/>
  <c r="C29" i="114"/>
  <c r="D30" i="109"/>
  <c r="D30" i="111"/>
  <c r="D30" i="112"/>
  <c r="C30" i="114"/>
  <c r="D31" i="109"/>
  <c r="D31" i="111"/>
  <c r="D31" i="112"/>
  <c r="C31" i="114"/>
  <c r="D32" i="109"/>
  <c r="D32" i="111"/>
  <c r="D32" i="112"/>
  <c r="C32" i="114"/>
  <c r="D33" i="109"/>
  <c r="D33" i="111"/>
  <c r="D33" i="112"/>
  <c r="C33" i="114"/>
  <c r="D34" i="109"/>
  <c r="D34" i="111"/>
  <c r="D34" i="112"/>
  <c r="C34" i="114"/>
  <c r="D35" i="109"/>
  <c r="D35" i="111"/>
  <c r="D36" i="109"/>
  <c r="D36" i="111"/>
  <c r="D36" i="112"/>
  <c r="C36" i="114"/>
  <c r="D37" i="109"/>
  <c r="D37" i="111"/>
  <c r="D37" i="112"/>
  <c r="C37" i="114"/>
  <c r="D38" i="109"/>
  <c r="D38" i="111"/>
  <c r="D38" i="112"/>
  <c r="C38" i="114"/>
  <c r="D20" i="111"/>
  <c r="D20" i="109"/>
  <c r="D4" i="109"/>
  <c r="D4" i="111"/>
  <c r="D4" i="112"/>
  <c r="C4" i="114"/>
  <c r="D5" i="109"/>
  <c r="D5" i="111"/>
  <c r="D8" i="109"/>
  <c r="D8" i="111"/>
  <c r="D9" i="109"/>
  <c r="D9" i="111"/>
  <c r="D9" i="112"/>
  <c r="C9" i="114"/>
  <c r="D10" i="109"/>
  <c r="D10" i="111"/>
  <c r="D10" i="112"/>
  <c r="C10" i="114"/>
  <c r="D12" i="109"/>
  <c r="D12" i="111"/>
  <c r="D12" i="112"/>
  <c r="C12" i="114"/>
  <c r="D13" i="109"/>
  <c r="D13" i="111"/>
  <c r="D14" i="109"/>
  <c r="D14" i="111"/>
  <c r="D14" i="112"/>
  <c r="C14" i="114"/>
  <c r="D15" i="109"/>
  <c r="D15" i="111"/>
  <c r="D15" i="112"/>
  <c r="C15" i="114"/>
  <c r="D16" i="109"/>
  <c r="D16" i="111"/>
  <c r="D16" i="112"/>
  <c r="C16" i="114"/>
  <c r="D17" i="109"/>
  <c r="D17" i="111"/>
  <c r="D17" i="112"/>
  <c r="C17" i="114"/>
  <c r="D18" i="109"/>
  <c r="D18" i="111"/>
  <c r="D18" i="112"/>
  <c r="C18" i="114"/>
  <c r="K135" i="7"/>
  <c r="L135" i="7" s="1"/>
  <c r="K136" i="7"/>
  <c r="L136" i="7" s="1"/>
  <c r="K137" i="7"/>
  <c r="L137" i="7" s="1"/>
  <c r="K138" i="7"/>
  <c r="L138" i="7" s="1"/>
  <c r="K139" i="7"/>
  <c r="L139" i="7" s="1"/>
  <c r="K141" i="7"/>
  <c r="L141" i="7" s="1"/>
  <c r="K143" i="7"/>
  <c r="L143" i="7" s="1"/>
  <c r="K144" i="7"/>
  <c r="L144" i="7" s="1"/>
  <c r="K145" i="7"/>
  <c r="L145" i="7" s="1"/>
  <c r="K146" i="7"/>
  <c r="L146" i="7" s="1"/>
  <c r="K147" i="7"/>
  <c r="L147" i="7" s="1"/>
  <c r="K148" i="7"/>
  <c r="L148" i="7" s="1"/>
  <c r="K149" i="7"/>
  <c r="L149" i="7" s="1"/>
  <c r="D35" i="14"/>
  <c r="K225" i="7"/>
  <c r="L225" i="7" s="1"/>
  <c r="K226" i="7"/>
  <c r="L226" i="7" s="1"/>
  <c r="K227" i="7"/>
  <c r="L227" i="7" s="1"/>
  <c r="K228" i="7"/>
  <c r="L228" i="7" s="1"/>
  <c r="K229" i="7"/>
  <c r="L229" i="7" s="1"/>
  <c r="K196" i="7"/>
  <c r="L196" i="7" s="1"/>
  <c r="K197" i="7"/>
  <c r="L197" i="7" s="1"/>
  <c r="K198" i="7"/>
  <c r="L198" i="7" s="1"/>
  <c r="K199" i="7"/>
  <c r="L199" i="7" s="1"/>
  <c r="K200" i="7"/>
  <c r="L200" i="7" s="1"/>
  <c r="K203" i="7"/>
  <c r="L203" i="7" s="1"/>
  <c r="K204" i="7"/>
  <c r="L204" i="7" s="1"/>
  <c r="K205" i="7"/>
  <c r="L205" i="7" s="1"/>
  <c r="K206" i="7"/>
  <c r="L206" i="7" s="1"/>
  <c r="K207" i="7"/>
  <c r="L207" i="7" s="1"/>
  <c r="K208" i="7"/>
  <c r="L208" i="7" s="1"/>
  <c r="K209" i="7"/>
  <c r="L209" i="7" s="1"/>
  <c r="K212" i="7"/>
  <c r="L212" i="7" s="1"/>
  <c r="K213" i="7"/>
  <c r="L213" i="7" s="1"/>
  <c r="K214" i="7"/>
  <c r="L214" i="7" s="1"/>
  <c r="K215" i="7"/>
  <c r="L215" i="7" s="1"/>
  <c r="K216" i="7"/>
  <c r="L216" i="7" s="1"/>
  <c r="K217" i="7"/>
  <c r="L217" i="7" s="1"/>
  <c r="K218" i="7"/>
  <c r="L218" i="7" s="1"/>
  <c r="K219" i="7"/>
  <c r="L219" i="7" s="1"/>
  <c r="K220" i="7"/>
  <c r="L220" i="7" s="1"/>
  <c r="K221" i="7"/>
  <c r="L221" i="7" s="1"/>
  <c r="K222" i="7"/>
  <c r="L222" i="7" s="1"/>
  <c r="K223" i="7"/>
  <c r="L223" i="7" s="1"/>
  <c r="K224" i="7"/>
  <c r="L224" i="7" s="1"/>
  <c r="F19" i="3"/>
  <c r="B19" i="3" s="1"/>
  <c r="F21" i="3"/>
  <c r="F22" i="3"/>
  <c r="F23" i="3"/>
  <c r="F25" i="3"/>
  <c r="F27" i="3"/>
  <c r="F28" i="3"/>
  <c r="F29" i="3"/>
  <c r="F30" i="3"/>
  <c r="F31" i="3"/>
  <c r="F32" i="3"/>
  <c r="F33" i="3"/>
  <c r="G44" i="7"/>
  <c r="J41" i="7"/>
  <c r="J42" i="7"/>
  <c r="J27" i="7"/>
  <c r="J28" i="7"/>
  <c r="J29" i="7"/>
  <c r="J30" i="7"/>
  <c r="J31" i="7"/>
  <c r="J32" i="7"/>
  <c r="J33" i="7"/>
  <c r="J34" i="7"/>
  <c r="J35" i="7"/>
  <c r="J36" i="7"/>
  <c r="J37" i="7"/>
  <c r="J38" i="7"/>
  <c r="J39" i="7"/>
  <c r="J40" i="7"/>
  <c r="J8" i="7"/>
  <c r="J9" i="7"/>
  <c r="J10" i="7"/>
  <c r="J11" i="7"/>
  <c r="J12" i="7"/>
  <c r="J13" i="7"/>
  <c r="J14" i="7"/>
  <c r="N14" i="7" s="1"/>
  <c r="J15" i="7"/>
  <c r="J16" i="7"/>
  <c r="J17" i="7"/>
  <c r="J18" i="7"/>
  <c r="J19" i="7"/>
  <c r="J20" i="7"/>
  <c r="J21" i="7"/>
  <c r="J22" i="7"/>
  <c r="J24" i="7"/>
  <c r="J25" i="7"/>
  <c r="J26" i="7"/>
  <c r="G243" i="7"/>
  <c r="H243" i="7"/>
  <c r="AO7" i="7"/>
  <c r="O9" i="7"/>
  <c r="O10" i="7"/>
  <c r="O11" i="7"/>
  <c r="O12" i="7"/>
  <c r="O13" i="7"/>
  <c r="O14" i="7"/>
  <c r="O16" i="7"/>
  <c r="O17" i="7"/>
  <c r="O18" i="7"/>
  <c r="O19" i="7"/>
  <c r="O20" i="7"/>
  <c r="O21" i="7"/>
  <c r="O22" i="7"/>
  <c r="O25" i="7"/>
  <c r="O27" i="7"/>
  <c r="O28" i="7"/>
  <c r="O29" i="7"/>
  <c r="O30" i="7"/>
  <c r="O31" i="7"/>
  <c r="O32" i="7"/>
  <c r="O33" i="7"/>
  <c r="O34" i="7"/>
  <c r="O35" i="7"/>
  <c r="O36" i="7"/>
  <c r="O37" i="7"/>
  <c r="O38" i="7"/>
  <c r="O41" i="7"/>
  <c r="O42" i="7"/>
  <c r="B24" i="19" a="1"/>
  <c r="B24" i="19" s="1"/>
  <c r="AO22" i="7"/>
  <c r="AO16" i="7"/>
  <c r="AO17" i="7"/>
  <c r="AO18" i="7"/>
  <c r="AO19" i="7"/>
  <c r="AO20" i="7"/>
  <c r="AO21" i="7"/>
  <c r="AO15" i="7"/>
  <c r="AO8" i="7"/>
  <c r="AO9" i="7"/>
  <c r="AO10" i="7"/>
  <c r="AO11" i="7"/>
  <c r="AO12" i="7"/>
  <c r="AO13" i="7"/>
  <c r="AO14" i="7"/>
  <c r="H168" i="7"/>
  <c r="D52" i="3"/>
  <c r="E168" i="7"/>
  <c r="H167" i="7"/>
  <c r="K167" i="7"/>
  <c r="L167" i="7" s="1"/>
  <c r="E167" i="7"/>
  <c r="H160" i="7"/>
  <c r="K160" i="7"/>
  <c r="L160" i="7" s="1"/>
  <c r="E160" i="7"/>
  <c r="H154" i="7"/>
  <c r="D38" i="3"/>
  <c r="E154" i="7"/>
  <c r="H155" i="7"/>
  <c r="D39" i="3"/>
  <c r="E155" i="7"/>
  <c r="I159" i="7"/>
  <c r="K164" i="7"/>
  <c r="L164" i="7" s="1"/>
  <c r="I158" i="7"/>
  <c r="I165" i="7"/>
  <c r="I152" i="7"/>
  <c r="H162" i="7"/>
  <c r="D46" i="3"/>
  <c r="E162" i="7"/>
  <c r="E157" i="7"/>
  <c r="H157" i="7"/>
  <c r="D41" i="3"/>
  <c r="E169" i="7"/>
  <c r="E151" i="7"/>
  <c r="E153" i="7"/>
  <c r="I163" i="7"/>
  <c r="H169" i="7"/>
  <c r="D53" i="3"/>
  <c r="H151" i="7"/>
  <c r="D35" i="3"/>
  <c r="D45" i="3"/>
  <c r="H153" i="7"/>
  <c r="K153" i="7"/>
  <c r="L153" i="7" s="1"/>
  <c r="K166" i="7"/>
  <c r="L166" i="7" s="1"/>
  <c r="I140" i="7"/>
  <c r="L137" i="4"/>
  <c r="L118" i="4"/>
  <c r="J62" i="4"/>
  <c r="J111" i="4"/>
  <c r="J110" i="4"/>
  <c r="J105" i="4"/>
  <c r="K98" i="4"/>
  <c r="K96" i="4"/>
  <c r="K83" i="4"/>
  <c r="J63" i="4"/>
  <c r="K55" i="4"/>
  <c r="K48" i="4"/>
  <c r="K46" i="4"/>
  <c r="D20" i="3"/>
  <c r="D21" i="3"/>
  <c r="D22" i="3"/>
  <c r="D23" i="3"/>
  <c r="D25" i="3"/>
  <c r="D27" i="3"/>
  <c r="D28" i="3"/>
  <c r="D29" i="3"/>
  <c r="D30" i="3"/>
  <c r="D31" i="3"/>
  <c r="D32" i="3"/>
  <c r="D33" i="3"/>
  <c r="I134" i="7"/>
  <c r="E7" i="16"/>
  <c r="C30" i="14"/>
  <c r="C28" i="18"/>
  <c r="C19" i="18"/>
  <c r="C20" i="18"/>
  <c r="C21" i="18"/>
  <c r="C22" i="18"/>
  <c r="C23" i="18"/>
  <c r="C24" i="18"/>
  <c r="C25" i="18"/>
  <c r="C10" i="18"/>
  <c r="F34" i="18"/>
  <c r="C15" i="18" s="1"/>
  <c r="F32" i="18"/>
  <c r="I135" i="7"/>
  <c r="I136" i="7"/>
  <c r="I137" i="7"/>
  <c r="I138" i="7"/>
  <c r="I139" i="7"/>
  <c r="I141" i="7"/>
  <c r="I143" i="7"/>
  <c r="I144" i="7"/>
  <c r="I145" i="7"/>
  <c r="I146" i="7"/>
  <c r="I147" i="7"/>
  <c r="I148" i="7"/>
  <c r="I149" i="7"/>
  <c r="D6" i="111"/>
  <c r="I4" i="19"/>
  <c r="J200" i="7"/>
  <c r="E139" i="7"/>
  <c r="E22" i="6"/>
  <c r="E21" i="6"/>
  <c r="E23" i="6" s="1"/>
  <c r="D23" i="6"/>
  <c r="D11" i="9"/>
  <c r="E11" i="9" s="1"/>
  <c r="D10" i="9"/>
  <c r="D8" i="9"/>
  <c r="E8" i="9" s="1"/>
  <c r="C9" i="9"/>
  <c r="B11" i="9"/>
  <c r="C11" i="9" s="1"/>
  <c r="B10" i="9"/>
  <c r="C10" i="9" s="1"/>
  <c r="B8" i="9"/>
  <c r="C27" i="6"/>
  <c r="B26" i="6"/>
  <c r="C26" i="6" s="1"/>
  <c r="D26" i="6" s="1"/>
  <c r="B23" i="6"/>
  <c r="C22" i="6"/>
  <c r="C21" i="6"/>
  <c r="B18" i="6"/>
  <c r="D35" i="18"/>
  <c r="C36" i="18" s="1"/>
  <c r="C27" i="18"/>
  <c r="B7" i="18" s="1"/>
  <c r="D34" i="18"/>
  <c r="D33" i="18"/>
  <c r="D32" i="18"/>
  <c r="C14" i="18"/>
  <c r="D14" i="18" s="1"/>
  <c r="B43" i="18"/>
  <c r="B16" i="18"/>
  <c r="F20" i="3"/>
  <c r="B16" i="10"/>
  <c r="B17" i="10"/>
  <c r="J212" i="7"/>
  <c r="J213" i="7"/>
  <c r="J214" i="7"/>
  <c r="J216" i="7"/>
  <c r="J215" i="7"/>
  <c r="J221" i="7"/>
  <c r="J226" i="7"/>
  <c r="J217" i="7"/>
  <c r="J218" i="7"/>
  <c r="J219" i="7"/>
  <c r="J220" i="7"/>
  <c r="J222" i="7"/>
  <c r="J223" i="7"/>
  <c r="J224" i="7"/>
  <c r="J225" i="7"/>
  <c r="J227" i="7"/>
  <c r="J228" i="7"/>
  <c r="J229" i="7"/>
  <c r="J195" i="7"/>
  <c r="J196" i="7"/>
  <c r="J197" i="7"/>
  <c r="J198" i="7"/>
  <c r="J199" i="7"/>
  <c r="J201" i="7"/>
  <c r="J205" i="7"/>
  <c r="J203" i="7"/>
  <c r="J204" i="7"/>
  <c r="J206" i="7"/>
  <c r="J207" i="7"/>
  <c r="J208" i="7"/>
  <c r="J209" i="7"/>
  <c r="I194" i="7"/>
  <c r="C194" i="7"/>
  <c r="E194" i="7"/>
  <c r="F194" i="7"/>
  <c r="G194" i="7"/>
  <c r="H194" i="7"/>
  <c r="E9" i="9"/>
  <c r="E10" i="9"/>
  <c r="G13" i="11"/>
  <c r="G14" i="11"/>
  <c r="G15" i="11"/>
  <c r="G16" i="11"/>
  <c r="G17" i="11"/>
  <c r="G18" i="11"/>
  <c r="G19" i="11"/>
  <c r="G20" i="11"/>
  <c r="G21" i="11"/>
  <c r="G22" i="11"/>
  <c r="G23" i="11"/>
  <c r="G24" i="11"/>
  <c r="G25" i="11"/>
  <c r="G26" i="11"/>
  <c r="G27" i="11"/>
  <c r="G12" i="11"/>
  <c r="F13" i="11"/>
  <c r="F14" i="11"/>
  <c r="F15" i="11"/>
  <c r="F16" i="11"/>
  <c r="F17" i="11"/>
  <c r="F18" i="11"/>
  <c r="F19" i="11"/>
  <c r="F20" i="11"/>
  <c r="F21" i="11"/>
  <c r="F22" i="11"/>
  <c r="F23" i="11"/>
  <c r="F24" i="11"/>
  <c r="F25" i="11"/>
  <c r="F26" i="11"/>
  <c r="F27" i="11"/>
  <c r="F12" i="11"/>
  <c r="E32" i="11"/>
  <c r="D32" i="11"/>
  <c r="C32" i="11"/>
  <c r="D31" i="11"/>
  <c r="C31" i="11"/>
  <c r="C33" i="11" s="1"/>
  <c r="E30" i="11"/>
  <c r="E33" i="11" s="1"/>
  <c r="B19" i="16"/>
  <c r="B24" i="16" s="1"/>
  <c r="C18" i="16" s="1"/>
  <c r="F58" i="7" l="1"/>
  <c r="G15" i="7" s="1"/>
  <c r="F139" i="20"/>
  <c r="F177" i="20"/>
  <c r="M7" i="18"/>
  <c r="I7" i="18"/>
  <c r="K7" i="18"/>
  <c r="G155" i="4"/>
  <c r="G162" i="4"/>
  <c r="F50" i="7"/>
  <c r="G7" i="7" s="1"/>
  <c r="G168" i="4"/>
  <c r="K50" i="7" a="1"/>
  <c r="K50" i="7" s="1"/>
  <c r="AY9" i="20"/>
  <c r="G166" i="4"/>
  <c r="G161" i="4"/>
  <c r="W10" i="20"/>
  <c r="AX10" i="20"/>
  <c r="D33" i="11"/>
  <c r="B33" i="3"/>
  <c r="E17" i="126" s="1"/>
  <c r="B29" i="3"/>
  <c r="E13" i="126" s="1"/>
  <c r="B23" i="3"/>
  <c r="E7" i="126" s="1"/>
  <c r="B32" i="3"/>
  <c r="E16" i="126" s="1"/>
  <c r="B28" i="3"/>
  <c r="B22" i="3"/>
  <c r="E6" i="126" s="1"/>
  <c r="B31" i="3"/>
  <c r="E15" i="126" s="1"/>
  <c r="B27" i="3"/>
  <c r="E11" i="126" s="1"/>
  <c r="B21" i="3"/>
  <c r="E5" i="126" s="1"/>
  <c r="B30" i="3"/>
  <c r="E14" i="126" s="1"/>
  <c r="B25" i="3"/>
  <c r="E9" i="126" s="1"/>
  <c r="B20" i="3"/>
  <c r="E4" i="126" s="1"/>
  <c r="T19" i="20"/>
  <c r="T18" i="20"/>
  <c r="T16" i="20"/>
  <c r="T15" i="20"/>
  <c r="T11" i="20"/>
  <c r="T10" i="20"/>
  <c r="T39" i="20"/>
  <c r="E177" i="20"/>
  <c r="J50" i="7" a="1"/>
  <c r="J50" i="7" s="1"/>
  <c r="E8" i="16" s="1"/>
  <c r="B177" i="20"/>
  <c r="C177" i="20"/>
  <c r="H50" i="7" a="1"/>
  <c r="H50" i="7" s="1"/>
  <c r="N66" i="7" s="1"/>
  <c r="D177" i="20"/>
  <c r="I50" i="7" a="1"/>
  <c r="I50" i="7" s="1"/>
  <c r="D169" i="20" s="1"/>
  <c r="T41" i="20"/>
  <c r="T38" i="20"/>
  <c r="T37" i="20"/>
  <c r="T35" i="20"/>
  <c r="T34" i="20"/>
  <c r="T33" i="20"/>
  <c r="T32" i="20"/>
  <c r="T31" i="20"/>
  <c r="T29" i="20"/>
  <c r="T28" i="20"/>
  <c r="T40" i="20"/>
  <c r="T36" i="20"/>
  <c r="E87" i="20" a="1"/>
  <c r="E87" i="20" s="1"/>
  <c r="E58" i="7"/>
  <c r="N15" i="7" s="1"/>
  <c r="AJ15" i="7" s="1"/>
  <c r="B87" i="20" a="1"/>
  <c r="B87" i="20" s="1"/>
  <c r="B50" i="7" s="1"/>
  <c r="B58" i="7"/>
  <c r="I26" i="3" s="1" a="1"/>
  <c r="I26" i="3" s="1"/>
  <c r="B101" i="7"/>
  <c r="D87" i="20" a="1"/>
  <c r="D87" i="20" s="1"/>
  <c r="D50" i="7" s="1"/>
  <c r="S9" i="20" s="1"/>
  <c r="D58" i="7"/>
  <c r="D101" i="7"/>
  <c r="C87" i="20" a="1"/>
  <c r="C87" i="20" s="1"/>
  <c r="C58" i="7"/>
  <c r="R17" i="20" s="1"/>
  <c r="T27" i="20"/>
  <c r="T26" i="20"/>
  <c r="T24" i="20"/>
  <c r="T20" i="20"/>
  <c r="T14" i="20"/>
  <c r="T44" i="20"/>
  <c r="T42" i="20"/>
  <c r="T30" i="20"/>
  <c r="T23" i="20"/>
  <c r="T22" i="20"/>
  <c r="T21" i="20"/>
  <c r="T43" i="20"/>
  <c r="C9" i="10"/>
  <c r="F29" i="11"/>
  <c r="C23" i="6"/>
  <c r="M93" i="7" a="1"/>
  <c r="M93" i="7" s="1"/>
  <c r="D93" i="7" s="1"/>
  <c r="R93" i="7" a="1"/>
  <c r="R93" i="7" s="1"/>
  <c r="I93" i="7" s="1"/>
  <c r="B2" i="129" s="1"/>
  <c r="I101" i="7"/>
  <c r="B10" i="129" s="1"/>
  <c r="B26" i="9"/>
  <c r="B30" i="9"/>
  <c r="B38" i="9"/>
  <c r="B43" i="9"/>
  <c r="B47" i="9"/>
  <c r="B51" i="9"/>
  <c r="B55" i="9"/>
  <c r="B27" i="9"/>
  <c r="B31" i="9"/>
  <c r="B35" i="9"/>
  <c r="B39" i="9"/>
  <c r="B44" i="9"/>
  <c r="B48" i="9"/>
  <c r="B52" i="9"/>
  <c r="B56" i="9"/>
  <c r="B28" i="9"/>
  <c r="B32" i="9"/>
  <c r="B36" i="9"/>
  <c r="B40" i="9"/>
  <c r="B45" i="9"/>
  <c r="B49" i="9"/>
  <c r="B53" i="9"/>
  <c r="B57" i="9"/>
  <c r="B29" i="9"/>
  <c r="B42" i="9"/>
  <c r="K28" i="7"/>
  <c r="B58" i="9"/>
  <c r="S93" i="7" a="1"/>
  <c r="S93" i="7" s="1"/>
  <c r="J93" i="7" s="1"/>
  <c r="J2" i="136" s="1"/>
  <c r="T2" i="136" s="1"/>
  <c r="B123" i="3" s="1"/>
  <c r="J101" i="7"/>
  <c r="P93" i="7" a="1"/>
  <c r="P93" i="7" s="1"/>
  <c r="G93" i="7" s="1"/>
  <c r="B2" i="127" s="1"/>
  <c r="G101" i="7"/>
  <c r="B10" i="127" s="1"/>
  <c r="Q93" i="7" a="1"/>
  <c r="Q93" i="7" s="1"/>
  <c r="H93" i="7" s="1"/>
  <c r="O93" i="7" a="1"/>
  <c r="O93" i="7" s="1"/>
  <c r="F93" i="7" s="1"/>
  <c r="F101" i="7"/>
  <c r="N93" i="7" a="1"/>
  <c r="N93" i="7" s="1"/>
  <c r="E93" i="7" s="1"/>
  <c r="C2" i="129" s="1"/>
  <c r="L93" i="7" a="1"/>
  <c r="L93" i="7" s="1"/>
  <c r="C93" i="7" s="1"/>
  <c r="C2" i="127" s="1"/>
  <c r="K93" i="7" a="1"/>
  <c r="K93" i="7" s="1"/>
  <c r="B93" i="7" s="1"/>
  <c r="C17" i="8"/>
  <c r="F17" i="8" s="1"/>
  <c r="C33" i="8"/>
  <c r="F33" i="8" s="1"/>
  <c r="C37" i="8"/>
  <c r="F37" i="8" s="1"/>
  <c r="C26" i="8"/>
  <c r="F26" i="8" s="1"/>
  <c r="C48" i="8"/>
  <c r="F48" i="8" s="1"/>
  <c r="C36" i="8"/>
  <c r="F36" i="8" s="1"/>
  <c r="B238" i="7"/>
  <c r="C238" i="7" s="1"/>
  <c r="J202" i="7"/>
  <c r="P28" i="7"/>
  <c r="J38" i="12" s="1"/>
  <c r="P215" i="7"/>
  <c r="P200" i="7"/>
  <c r="P13" i="7"/>
  <c r="P9" i="7"/>
  <c r="P196" i="7"/>
  <c r="P36" i="7"/>
  <c r="J46" i="12" s="1"/>
  <c r="P223" i="7"/>
  <c r="P18" i="7"/>
  <c r="P205" i="7"/>
  <c r="P218" i="7"/>
  <c r="P31" i="7"/>
  <c r="J41" i="12" s="1"/>
  <c r="P21" i="7"/>
  <c r="P208" i="7"/>
  <c r="P199" i="7"/>
  <c r="P12" i="7"/>
  <c r="J22" i="12" s="1"/>
  <c r="P225" i="7"/>
  <c r="P38" i="7"/>
  <c r="J48" i="12" s="1"/>
  <c r="B50" i="9"/>
  <c r="B37" i="9"/>
  <c r="P221" i="7"/>
  <c r="P34" i="7"/>
  <c r="J44" i="12" s="1"/>
  <c r="P30" i="7"/>
  <c r="J40" i="12" s="1"/>
  <c r="P217" i="7"/>
  <c r="P26" i="7"/>
  <c r="J36" i="12" s="1"/>
  <c r="P213" i="7"/>
  <c r="P207" i="7"/>
  <c r="P20" i="7"/>
  <c r="P203" i="7"/>
  <c r="P16" i="7"/>
  <c r="P198" i="7"/>
  <c r="P11" i="7"/>
  <c r="P41" i="7"/>
  <c r="J51" i="12" s="1"/>
  <c r="P228" i="7"/>
  <c r="P219" i="7"/>
  <c r="P32" i="7"/>
  <c r="J42" i="12" s="1"/>
  <c r="P209" i="7"/>
  <c r="P22" i="7"/>
  <c r="P226" i="7"/>
  <c r="P39" i="7"/>
  <c r="J49" i="12" s="1"/>
  <c r="E142" i="7"/>
  <c r="E134" i="7" s="1"/>
  <c r="P222" i="7"/>
  <c r="P35" i="7"/>
  <c r="J45" i="12" s="1"/>
  <c r="P214" i="7"/>
  <c r="P27" i="7"/>
  <c r="J37" i="12" s="1"/>
  <c r="P17" i="7"/>
  <c r="P204" i="7"/>
  <c r="P42" i="7"/>
  <c r="J52" i="12" s="1"/>
  <c r="P229" i="7"/>
  <c r="P37" i="7"/>
  <c r="J47" i="12" s="1"/>
  <c r="P224" i="7"/>
  <c r="P33" i="7"/>
  <c r="J43" i="12" s="1"/>
  <c r="P220" i="7"/>
  <c r="P216" i="7"/>
  <c r="P29" i="7"/>
  <c r="J39" i="12" s="1"/>
  <c r="P25" i="7"/>
  <c r="J35" i="12" s="1"/>
  <c r="P212" i="7"/>
  <c r="P19" i="7"/>
  <c r="P206" i="7"/>
  <c r="N24" i="12"/>
  <c r="J9" i="128" s="1"/>
  <c r="P201" i="7"/>
  <c r="P10" i="7"/>
  <c r="P197" i="7"/>
  <c r="P40" i="7"/>
  <c r="J50" i="12" s="1"/>
  <c r="P227" i="7"/>
  <c r="P195" i="7"/>
  <c r="P8" i="7"/>
  <c r="J18" i="12" s="1"/>
  <c r="L26" i="3" a="1"/>
  <c r="L26" i="3" s="1"/>
  <c r="J26" i="3" a="1"/>
  <c r="J26" i="3" s="1"/>
  <c r="N54" i="7"/>
  <c r="F19" i="10"/>
  <c r="E19" i="10"/>
  <c r="K24" i="12"/>
  <c r="O24" i="12" s="1"/>
  <c r="G9" i="129" s="1"/>
  <c r="O8" i="7"/>
  <c r="O24" i="7"/>
  <c r="B12" i="9"/>
  <c r="C8" i="9"/>
  <c r="C12" i="9" s="1"/>
  <c r="I289" i="7"/>
  <c r="G289" i="7"/>
  <c r="B299" i="7" s="1"/>
  <c r="H7" i="7"/>
  <c r="K289" i="7"/>
  <c r="E12" i="126"/>
  <c r="E3" i="126"/>
  <c r="B7" i="112"/>
  <c r="B36" i="112"/>
  <c r="B32" i="112"/>
  <c r="B28" i="112"/>
  <c r="B24" i="112"/>
  <c r="B20" i="112"/>
  <c r="B15" i="112"/>
  <c r="B11" i="112"/>
  <c r="B3" i="112"/>
  <c r="B35" i="112"/>
  <c r="B31" i="112"/>
  <c r="B27" i="112"/>
  <c r="B23" i="112"/>
  <c r="B18" i="112"/>
  <c r="B14" i="112"/>
  <c r="B10" i="112"/>
  <c r="B6" i="112"/>
  <c r="B5" i="112"/>
  <c r="B38" i="112"/>
  <c r="B34" i="112"/>
  <c r="B30" i="112"/>
  <c r="B26" i="112"/>
  <c r="B22" i="112"/>
  <c r="B17" i="112"/>
  <c r="B13" i="112"/>
  <c r="B9" i="112"/>
  <c r="B37" i="112"/>
  <c r="B33" i="112"/>
  <c r="B29" i="112"/>
  <c r="B25" i="112"/>
  <c r="B21" i="112"/>
  <c r="B16" i="112"/>
  <c r="B12" i="112"/>
  <c r="B8" i="112"/>
  <c r="B4" i="112"/>
  <c r="B194" i="7"/>
  <c r="E289" i="7"/>
  <c r="D7" i="111"/>
  <c r="C289" i="7"/>
  <c r="O40" i="7"/>
  <c r="H42" i="7"/>
  <c r="L42" i="7" s="1"/>
  <c r="H38" i="7"/>
  <c r="L38" i="7" s="1"/>
  <c r="H34" i="7"/>
  <c r="L34" i="7" s="1"/>
  <c r="I44" i="12" s="1"/>
  <c r="H30" i="7"/>
  <c r="L30" i="7" s="1"/>
  <c r="I40" i="12" s="1"/>
  <c r="H26" i="7"/>
  <c r="L26" i="7" s="1"/>
  <c r="I36" i="12" s="1"/>
  <c r="H21" i="7"/>
  <c r="L21" i="7" s="1"/>
  <c r="H13" i="7"/>
  <c r="L13" i="7" s="1"/>
  <c r="O39" i="7"/>
  <c r="H11" i="7"/>
  <c r="L11" i="7" s="1"/>
  <c r="O26" i="7"/>
  <c r="H29" i="11"/>
  <c r="H30" i="11"/>
  <c r="H31" i="11"/>
  <c r="H32" i="11"/>
  <c r="D7" i="109"/>
  <c r="D6" i="109"/>
  <c r="T12" i="20" s="1"/>
  <c r="K168" i="7"/>
  <c r="L168" i="7" s="1"/>
  <c r="N18" i="7"/>
  <c r="K28" i="12" s="1"/>
  <c r="O28" i="12" s="1"/>
  <c r="G13" i="129" s="1"/>
  <c r="N10" i="7"/>
  <c r="K20" i="12" s="1"/>
  <c r="O20" i="12" s="1"/>
  <c r="G5" i="129" s="1"/>
  <c r="H41" i="7"/>
  <c r="L41" i="7" s="1"/>
  <c r="I51" i="12" s="1"/>
  <c r="H37" i="7"/>
  <c r="L37" i="7" s="1"/>
  <c r="I47" i="12" s="1"/>
  <c r="H33" i="7"/>
  <c r="L33" i="7" s="1"/>
  <c r="I43" i="12" s="1"/>
  <c r="H29" i="7"/>
  <c r="L29" i="7" s="1"/>
  <c r="I39" i="12" s="1"/>
  <c r="H25" i="7"/>
  <c r="L25" i="7" s="1"/>
  <c r="I35" i="12" s="1"/>
  <c r="H20" i="7"/>
  <c r="L20" i="7" s="1"/>
  <c r="H12" i="7"/>
  <c r="L12" i="7" s="1"/>
  <c r="I22" i="12" s="1"/>
  <c r="H8" i="7"/>
  <c r="L8" i="7" s="1"/>
  <c r="H17" i="7"/>
  <c r="L17" i="7" s="1"/>
  <c r="N21" i="7"/>
  <c r="K31" i="12" s="1"/>
  <c r="N17" i="7"/>
  <c r="K27" i="12" s="1"/>
  <c r="O27" i="12" s="1"/>
  <c r="G12" i="129" s="1"/>
  <c r="N13" i="7"/>
  <c r="K23" i="12" s="1"/>
  <c r="O23" i="12" s="1"/>
  <c r="G8" i="129" s="1"/>
  <c r="N9" i="7"/>
  <c r="K19" i="12" s="1"/>
  <c r="O19" i="12" s="1"/>
  <c r="G4" i="129" s="1"/>
  <c r="H40" i="7"/>
  <c r="L40" i="7" s="1"/>
  <c r="I50" i="12" s="1"/>
  <c r="H36" i="7"/>
  <c r="L36" i="7" s="1"/>
  <c r="I46" i="12" s="1"/>
  <c r="H32" i="7"/>
  <c r="L32" i="7" s="1"/>
  <c r="I42" i="12" s="1"/>
  <c r="H28" i="7"/>
  <c r="L28" i="7" s="1"/>
  <c r="I38" i="12" s="1"/>
  <c r="H24" i="7"/>
  <c r="L24" i="7" s="1"/>
  <c r="I34" i="12" s="1"/>
  <c r="H19" i="7"/>
  <c r="L19" i="7" s="1"/>
  <c r="H15" i="7"/>
  <c r="N202" i="7"/>
  <c r="O202" i="7" s="1"/>
  <c r="K158" i="7"/>
  <c r="L158" i="7" s="1"/>
  <c r="H9" i="7"/>
  <c r="L9" i="7" s="1"/>
  <c r="N22" i="7"/>
  <c r="K32" i="12" s="1"/>
  <c r="O32" i="12" s="1"/>
  <c r="G17" i="129" s="1"/>
  <c r="H39" i="7"/>
  <c r="L39" i="7" s="1"/>
  <c r="I49" i="12" s="1"/>
  <c r="H35" i="7"/>
  <c r="L35" i="7" s="1"/>
  <c r="I45" i="12" s="1"/>
  <c r="H31" i="7"/>
  <c r="L31" i="7" s="1"/>
  <c r="I41" i="12" s="1"/>
  <c r="H27" i="7"/>
  <c r="L27" i="7" s="1"/>
  <c r="I37" i="12" s="1"/>
  <c r="H22" i="7"/>
  <c r="L22" i="7" s="1"/>
  <c r="H16" i="7"/>
  <c r="L16" i="7" s="1"/>
  <c r="F38" i="109"/>
  <c r="F34" i="109"/>
  <c r="F30" i="109"/>
  <c r="F36" i="109"/>
  <c r="F32" i="109"/>
  <c r="F28" i="109"/>
  <c r="F26" i="109"/>
  <c r="F22" i="109"/>
  <c r="F37" i="109"/>
  <c r="F33" i="109"/>
  <c r="F31" i="109"/>
  <c r="F29" i="109"/>
  <c r="F27" i="109"/>
  <c r="F25" i="109"/>
  <c r="F21" i="109"/>
  <c r="F17" i="109"/>
  <c r="F15" i="109"/>
  <c r="F9" i="109"/>
  <c r="F18" i="109"/>
  <c r="F16" i="109"/>
  <c r="F14" i="109"/>
  <c r="F12" i="109"/>
  <c r="F10" i="109"/>
  <c r="F40" i="3"/>
  <c r="K163" i="7"/>
  <c r="L163" i="7" s="1"/>
  <c r="K155" i="7"/>
  <c r="L155" i="7" s="1"/>
  <c r="K134" i="7"/>
  <c r="L134" i="7" s="1"/>
  <c r="K142" i="7"/>
  <c r="L142" i="7" s="1"/>
  <c r="K151" i="7"/>
  <c r="L151" i="7" s="1"/>
  <c r="K162" i="7"/>
  <c r="L162" i="7" s="1"/>
  <c r="K157" i="7"/>
  <c r="L157" i="7" s="1"/>
  <c r="K154" i="7"/>
  <c r="L154" i="7" s="1"/>
  <c r="K169" i="7"/>
  <c r="L169" i="7" s="1"/>
  <c r="K165" i="7"/>
  <c r="L165" i="7" s="1"/>
  <c r="K152" i="7"/>
  <c r="L152" i="7" s="1"/>
  <c r="K159" i="7"/>
  <c r="L159" i="7" s="1"/>
  <c r="K156" i="7"/>
  <c r="L156" i="7" s="1"/>
  <c r="K140" i="7"/>
  <c r="L140" i="7" s="1"/>
  <c r="K161" i="7"/>
  <c r="L161" i="7" s="1"/>
  <c r="F44" i="3"/>
  <c r="F48" i="3"/>
  <c r="O209" i="7"/>
  <c r="AI22" i="7" s="1"/>
  <c r="O207" i="7"/>
  <c r="AI20" i="7" s="1"/>
  <c r="O203" i="7"/>
  <c r="AI16" i="7" s="1"/>
  <c r="O198" i="7"/>
  <c r="AI11" i="7" s="1"/>
  <c r="O195" i="7"/>
  <c r="AI8" i="7" s="1"/>
  <c r="M22" i="7"/>
  <c r="M14" i="7"/>
  <c r="AA14" i="7" s="1"/>
  <c r="M29" i="7"/>
  <c r="O206" i="7"/>
  <c r="AI19" i="7" s="1"/>
  <c r="O197" i="7"/>
  <c r="AI10" i="7" s="1"/>
  <c r="O205" i="7"/>
  <c r="AI18" i="7" s="1"/>
  <c r="O201" i="7"/>
  <c r="AI14" i="7" s="1"/>
  <c r="O196" i="7"/>
  <c r="AI9" i="7" s="1"/>
  <c r="O204" i="7"/>
  <c r="AI17" i="7" s="1"/>
  <c r="O199" i="7"/>
  <c r="AI12" i="7" s="1"/>
  <c r="O208" i="7"/>
  <c r="AI21" i="7" s="1"/>
  <c r="M30" i="7"/>
  <c r="F51" i="3"/>
  <c r="N25" i="7"/>
  <c r="AB25" i="7" s="1"/>
  <c r="N20" i="7"/>
  <c r="AB20" i="7" s="1"/>
  <c r="N16" i="7"/>
  <c r="AJ16" i="7" s="1"/>
  <c r="N12" i="7"/>
  <c r="AJ12" i="7" s="1"/>
  <c r="N8" i="7"/>
  <c r="AB8" i="7" s="1"/>
  <c r="N37" i="7"/>
  <c r="AB37" i="7" s="1"/>
  <c r="N33" i="7"/>
  <c r="AB33" i="7" s="1"/>
  <c r="N29" i="7"/>
  <c r="AB29" i="7" s="1"/>
  <c r="N41" i="7"/>
  <c r="AB41" i="7" s="1"/>
  <c r="N24" i="7"/>
  <c r="AB24" i="7" s="1"/>
  <c r="N19" i="7"/>
  <c r="AJ19" i="7" s="1"/>
  <c r="N11" i="7"/>
  <c r="AJ11" i="7" s="1"/>
  <c r="N40" i="7"/>
  <c r="AB40" i="7" s="1"/>
  <c r="N36" i="7"/>
  <c r="AB36" i="7" s="1"/>
  <c r="N32" i="7"/>
  <c r="AB32" i="7" s="1"/>
  <c r="N28" i="7"/>
  <c r="AB28" i="7" s="1"/>
  <c r="H10" i="7"/>
  <c r="L10" i="7" s="1"/>
  <c r="N39" i="7"/>
  <c r="AB39" i="7" s="1"/>
  <c r="N35" i="7"/>
  <c r="AB35" i="7" s="1"/>
  <c r="N31" i="7"/>
  <c r="AB31" i="7" s="1"/>
  <c r="N27" i="7"/>
  <c r="AB27" i="7" s="1"/>
  <c r="H18" i="7"/>
  <c r="L18" i="7" s="1"/>
  <c r="N26" i="7"/>
  <c r="AB26" i="7" s="1"/>
  <c r="N38" i="7"/>
  <c r="AB38" i="7" s="1"/>
  <c r="N34" i="7"/>
  <c r="AB34" i="7" s="1"/>
  <c r="N30" i="7"/>
  <c r="AB30" i="7" s="1"/>
  <c r="N42" i="7"/>
  <c r="AB42" i="7" s="1"/>
  <c r="H14" i="7"/>
  <c r="L14" i="7" s="1"/>
  <c r="F24" i="3"/>
  <c r="I161" i="7"/>
  <c r="G164" i="4" s="1"/>
  <c r="N200" i="7"/>
  <c r="D194" i="7"/>
  <c r="K194" i="7" s="1"/>
  <c r="L194" i="7" s="1"/>
  <c r="J194" i="7"/>
  <c r="B181" i="7" s="1"/>
  <c r="D24" i="3"/>
  <c r="D47" i="3"/>
  <c r="F35" i="3"/>
  <c r="B35" i="3" s="1"/>
  <c r="F43" i="3"/>
  <c r="B25" i="19" a="1"/>
  <c r="B25" i="19" s="1"/>
  <c r="I156" i="7"/>
  <c r="G159" i="4" s="1"/>
  <c r="D44" i="3"/>
  <c r="F42" i="3"/>
  <c r="D40" i="3"/>
  <c r="B40" i="3" s="1"/>
  <c r="F47" i="3"/>
  <c r="F38" i="3"/>
  <c r="I167" i="7"/>
  <c r="G170" i="4" s="1"/>
  <c r="D36" i="3"/>
  <c r="F46" i="3"/>
  <c r="I164" i="7"/>
  <c r="G167" i="4" s="1"/>
  <c r="I155" i="7"/>
  <c r="G158" i="4" s="1"/>
  <c r="F39" i="3"/>
  <c r="B39" i="3" s="1"/>
  <c r="D48" i="3"/>
  <c r="I166" i="7"/>
  <c r="G169" i="4" s="1"/>
  <c r="D50" i="3"/>
  <c r="F50" i="3"/>
  <c r="D37" i="3"/>
  <c r="F37" i="3"/>
  <c r="F52" i="3"/>
  <c r="B52" i="3" s="1"/>
  <c r="I168" i="7"/>
  <c r="G171" i="4" s="1"/>
  <c r="I153" i="7"/>
  <c r="G156" i="4" s="1"/>
  <c r="D51" i="3"/>
  <c r="D43" i="3"/>
  <c r="B43" i="3" s="1"/>
  <c r="D42" i="3"/>
  <c r="F53" i="3"/>
  <c r="B53" i="3" s="1"/>
  <c r="F49" i="3"/>
  <c r="F45" i="3"/>
  <c r="B45" i="3" s="1"/>
  <c r="F41" i="3"/>
  <c r="I151" i="7"/>
  <c r="G154" i="4" s="1"/>
  <c r="D49" i="3"/>
  <c r="F36" i="3"/>
  <c r="I154" i="7"/>
  <c r="G157" i="4" s="1"/>
  <c r="I160" i="7"/>
  <c r="G163" i="4" s="1"/>
  <c r="I162" i="7"/>
  <c r="G165" i="4" s="1"/>
  <c r="I157" i="7"/>
  <c r="G160" i="4" s="1"/>
  <c r="I169" i="7"/>
  <c r="G172" i="4" s="1"/>
  <c r="I142" i="7"/>
  <c r="D20" i="18"/>
  <c r="D21" i="18"/>
  <c r="D25" i="18"/>
  <c r="D15" i="18"/>
  <c r="D16" i="18" s="1"/>
  <c r="D24" i="18"/>
  <c r="D28" i="18"/>
  <c r="D22" i="18"/>
  <c r="D26" i="18"/>
  <c r="D10" i="18"/>
  <c r="D19" i="18"/>
  <c r="D23" i="18"/>
  <c r="D27" i="18"/>
  <c r="F30" i="11"/>
  <c r="G31" i="11"/>
  <c r="G29" i="11"/>
  <c r="G30" i="11"/>
  <c r="F32" i="11"/>
  <c r="F31" i="11"/>
  <c r="D12" i="9"/>
  <c r="E12" i="9"/>
  <c r="C29" i="18"/>
  <c r="C16" i="18"/>
  <c r="G32" i="11"/>
  <c r="C19" i="16"/>
  <c r="C17" i="16"/>
  <c r="D7" i="16" s="1"/>
  <c r="D8" i="16" s="1"/>
  <c r="B44" i="3" l="1"/>
  <c r="B7" i="6"/>
  <c r="B9" i="6"/>
  <c r="B13" i="9"/>
  <c r="F131" i="20"/>
  <c r="F169" i="20"/>
  <c r="G173" i="4"/>
  <c r="H37" i="4" s="1"/>
  <c r="F13" i="5" s="1"/>
  <c r="F21" i="5" s="1"/>
  <c r="S17" i="20"/>
  <c r="I15" i="7"/>
  <c r="AI15" i="7" s="1"/>
  <c r="K15" i="7"/>
  <c r="AG15" i="7" s="1"/>
  <c r="Q202" i="7"/>
  <c r="P15" i="7"/>
  <c r="W21" i="20"/>
  <c r="AX21" i="20"/>
  <c r="AZ21" i="20" s="1"/>
  <c r="W15" i="20"/>
  <c r="AX15" i="20"/>
  <c r="AZ15" i="20" s="1"/>
  <c r="W31" i="20"/>
  <c r="AX31" i="20"/>
  <c r="AZ31" i="20" s="1"/>
  <c r="W39" i="20"/>
  <c r="AX39" i="20"/>
  <c r="AZ39" i="20" s="1"/>
  <c r="W34" i="20"/>
  <c r="AX34" i="20"/>
  <c r="AZ34" i="20" s="1"/>
  <c r="W40" i="20"/>
  <c r="AX40" i="20"/>
  <c r="AZ40" i="20" s="1"/>
  <c r="W20" i="20"/>
  <c r="AX20" i="20"/>
  <c r="AZ20" i="20" s="1"/>
  <c r="W33" i="20"/>
  <c r="AX33" i="20"/>
  <c r="AZ33" i="20" s="1"/>
  <c r="W43" i="20"/>
  <c r="AX43" i="20"/>
  <c r="AZ43" i="20" s="1"/>
  <c r="W38" i="20"/>
  <c r="AX38" i="20"/>
  <c r="AZ38" i="20" s="1"/>
  <c r="W44" i="20"/>
  <c r="AX44" i="20"/>
  <c r="AZ44" i="20" s="1"/>
  <c r="W22" i="20"/>
  <c r="AX22" i="20"/>
  <c r="AZ22" i="20" s="1"/>
  <c r="W23" i="20"/>
  <c r="AX23" i="20"/>
  <c r="AZ23" i="20" s="1"/>
  <c r="W35" i="20"/>
  <c r="AX35" i="20"/>
  <c r="AZ35" i="20" s="1"/>
  <c r="W28" i="20"/>
  <c r="AX28" i="20"/>
  <c r="AZ28" i="20" s="1"/>
  <c r="W42" i="20"/>
  <c r="AX42" i="20"/>
  <c r="AZ42" i="20" s="1"/>
  <c r="W16" i="20"/>
  <c r="AX16" i="20"/>
  <c r="AZ16" i="20" s="1"/>
  <c r="W24" i="20"/>
  <c r="AX24" i="20"/>
  <c r="AZ24" i="20" s="1"/>
  <c r="W27" i="20"/>
  <c r="AX27" i="20"/>
  <c r="AZ27" i="20" s="1"/>
  <c r="W37" i="20"/>
  <c r="AX37" i="20"/>
  <c r="AZ37" i="20" s="1"/>
  <c r="W32" i="20"/>
  <c r="AX32" i="20"/>
  <c r="AZ32" i="20" s="1"/>
  <c r="W36" i="20"/>
  <c r="AX36" i="20"/>
  <c r="AZ36" i="20" s="1"/>
  <c r="AZ10" i="20"/>
  <c r="W18" i="20"/>
  <c r="AX18" i="20"/>
  <c r="AZ18" i="20" s="1"/>
  <c r="C26" i="3" a="1"/>
  <c r="C26" i="3" s="1"/>
  <c r="G26" i="3" a="1"/>
  <c r="G26" i="3" s="1"/>
  <c r="G18" i="3" s="1" a="1"/>
  <c r="G18" i="3" s="1"/>
  <c r="B49" i="3"/>
  <c r="E32" i="126" s="1"/>
  <c r="E26" i="3" a="1"/>
  <c r="E26" i="3" s="1"/>
  <c r="E18" i="3" s="1" a="1"/>
  <c r="E18" i="3" s="1"/>
  <c r="H26" i="3" a="1"/>
  <c r="H26" i="3" s="1"/>
  <c r="H18" i="3" s="1" a="1"/>
  <c r="H18" i="3" s="1"/>
  <c r="K26" i="3" a="1"/>
  <c r="K26" i="3" s="1"/>
  <c r="P202" i="7"/>
  <c r="C2" i="126"/>
  <c r="I2" i="136"/>
  <c r="B2" i="126"/>
  <c r="H2" i="136"/>
  <c r="D10" i="126"/>
  <c r="J10" i="136"/>
  <c r="T10" i="136" s="1"/>
  <c r="B131" i="3" s="1"/>
  <c r="C10" i="126"/>
  <c r="I10" i="136"/>
  <c r="C10" i="128"/>
  <c r="M10" i="136"/>
  <c r="U10" i="136" s="1"/>
  <c r="C131" i="3" s="1"/>
  <c r="B10" i="126"/>
  <c r="H10" i="136"/>
  <c r="C2" i="128"/>
  <c r="M2" i="136"/>
  <c r="U2" i="136" s="1"/>
  <c r="C123" i="3" s="1"/>
  <c r="G33" i="11"/>
  <c r="F33" i="11"/>
  <c r="H33" i="11"/>
  <c r="O31" i="12"/>
  <c r="G16" i="129" s="1"/>
  <c r="B42" i="3"/>
  <c r="E25" i="126" s="1"/>
  <c r="B36" i="3"/>
  <c r="E19" i="126" s="1"/>
  <c r="B24" i="3"/>
  <c r="E8" i="126" s="1"/>
  <c r="B51" i="3"/>
  <c r="E34" i="126" s="1"/>
  <c r="B48" i="3"/>
  <c r="E31" i="126" s="1"/>
  <c r="B37" i="3"/>
  <c r="E20" i="126" s="1"/>
  <c r="B47" i="3"/>
  <c r="E30" i="126" s="1"/>
  <c r="E22" i="126"/>
  <c r="B46" i="3"/>
  <c r="E29" i="126" s="1"/>
  <c r="B50" i="3"/>
  <c r="E33" i="126" s="1"/>
  <c r="B41" i="3"/>
  <c r="E24" i="126" s="1"/>
  <c r="B38" i="3"/>
  <c r="E21" i="126" s="1"/>
  <c r="C8" i="16"/>
  <c r="O15" i="7"/>
  <c r="L15" i="7"/>
  <c r="AH15" i="7" s="1"/>
  <c r="N61" i="7"/>
  <c r="B169" i="20"/>
  <c r="C13" i="9"/>
  <c r="E17" i="9"/>
  <c r="C169" i="20"/>
  <c r="E13" i="9"/>
  <c r="E7" i="11"/>
  <c r="F18" i="129" s="1"/>
  <c r="E6" i="11"/>
  <c r="E169" i="20"/>
  <c r="C7" i="11"/>
  <c r="I3" i="127" s="1"/>
  <c r="C50" i="7"/>
  <c r="R9" i="20" s="1"/>
  <c r="E50" i="7"/>
  <c r="N7" i="7" s="1"/>
  <c r="AB7" i="7" s="1"/>
  <c r="F20" i="109"/>
  <c r="D8" i="6"/>
  <c r="Q17" i="20"/>
  <c r="Q9" i="20"/>
  <c r="B9" i="8"/>
  <c r="T13" i="20"/>
  <c r="T17" i="20"/>
  <c r="B19" i="13"/>
  <c r="B7" i="13" s="1"/>
  <c r="B2" i="128"/>
  <c r="B25" i="10"/>
  <c r="D25" i="10" s="1"/>
  <c r="D9" i="10" s="1" a="1"/>
  <c r="D9" i="10" s="1"/>
  <c r="B46" i="9"/>
  <c r="K3" i="127"/>
  <c r="K7" i="127"/>
  <c r="K11" i="127"/>
  <c r="K15" i="127"/>
  <c r="K19" i="127"/>
  <c r="K23" i="127"/>
  <c r="K27" i="127"/>
  <c r="K31" i="127"/>
  <c r="K35" i="127"/>
  <c r="K8" i="127"/>
  <c r="K12" i="127"/>
  <c r="K16" i="127"/>
  <c r="K20" i="127"/>
  <c r="K24" i="127"/>
  <c r="K28" i="127"/>
  <c r="K32" i="127"/>
  <c r="K36" i="127"/>
  <c r="K6" i="127"/>
  <c r="K14" i="127"/>
  <c r="K22" i="127"/>
  <c r="K26" i="127"/>
  <c r="K4" i="127"/>
  <c r="K5" i="127"/>
  <c r="K9" i="127"/>
  <c r="K13" i="127"/>
  <c r="K17" i="127"/>
  <c r="K21" i="127"/>
  <c r="K25" i="127"/>
  <c r="K29" i="127"/>
  <c r="K33" i="127"/>
  <c r="K2" i="127"/>
  <c r="K10" i="127"/>
  <c r="K18" i="127"/>
  <c r="K30" i="127"/>
  <c r="K34" i="127"/>
  <c r="B25" i="9"/>
  <c r="D2" i="126"/>
  <c r="F10" i="129"/>
  <c r="F26" i="129"/>
  <c r="F30" i="129"/>
  <c r="F7" i="129"/>
  <c r="F23" i="129"/>
  <c r="F27" i="129"/>
  <c r="F4" i="129"/>
  <c r="F20" i="129"/>
  <c r="F24" i="129"/>
  <c r="F36" i="129"/>
  <c r="F13" i="129"/>
  <c r="F17" i="129"/>
  <c r="F21" i="129"/>
  <c r="F33" i="129"/>
  <c r="I13" i="127"/>
  <c r="I14" i="127"/>
  <c r="I18" i="127"/>
  <c r="I30" i="127"/>
  <c r="I34" i="127"/>
  <c r="I33" i="127"/>
  <c r="I28" i="127"/>
  <c r="I32" i="127"/>
  <c r="I31" i="127"/>
  <c r="I35" i="127"/>
  <c r="B8" i="14"/>
  <c r="B6" i="18"/>
  <c r="I136" i="4"/>
  <c r="B7" i="16"/>
  <c r="I119" i="4"/>
  <c r="I140" i="4"/>
  <c r="H38" i="12"/>
  <c r="J21" i="12"/>
  <c r="N21" i="12" s="1"/>
  <c r="J6" i="128" s="1"/>
  <c r="J30" i="12"/>
  <c r="N30" i="12" s="1"/>
  <c r="J15" i="128" s="1"/>
  <c r="J19" i="12"/>
  <c r="N19" i="12" s="1"/>
  <c r="J4" i="128" s="1"/>
  <c r="J20" i="12"/>
  <c r="N20" i="12" s="1"/>
  <c r="J5" i="128" s="1"/>
  <c r="J29" i="12"/>
  <c r="N29" i="12" s="1"/>
  <c r="J14" i="128" s="1"/>
  <c r="J27" i="12"/>
  <c r="N27" i="12" s="1"/>
  <c r="J12" i="128" s="1"/>
  <c r="J32" i="12"/>
  <c r="N32" i="12" s="1"/>
  <c r="J17" i="128" s="1"/>
  <c r="J26" i="12"/>
  <c r="N26" i="12" s="1"/>
  <c r="J11" i="128" s="1"/>
  <c r="J23" i="12"/>
  <c r="N23" i="12" s="1"/>
  <c r="J8" i="128" s="1"/>
  <c r="J31" i="12"/>
  <c r="N31" i="12" s="1"/>
  <c r="J16" i="128" s="1"/>
  <c r="J28" i="12"/>
  <c r="N28" i="12" s="1"/>
  <c r="J13" i="128" s="1"/>
  <c r="K42" i="7"/>
  <c r="H52" i="12" s="1"/>
  <c r="P52" i="12" s="1"/>
  <c r="B60" i="9"/>
  <c r="K41" i="7"/>
  <c r="H51" i="12" s="1"/>
  <c r="B59" i="9"/>
  <c r="K16" i="7"/>
  <c r="H26" i="12" s="1"/>
  <c r="L26" i="12" s="1"/>
  <c r="B34" i="9"/>
  <c r="K36" i="7"/>
  <c r="H46" i="12" s="1"/>
  <c r="B54" i="9"/>
  <c r="F35" i="109"/>
  <c r="F13" i="109"/>
  <c r="F23" i="109"/>
  <c r="F24" i="109"/>
  <c r="F8" i="109"/>
  <c r="C21" i="8"/>
  <c r="F21" i="8" s="1"/>
  <c r="C19" i="8"/>
  <c r="F19" i="8" s="1"/>
  <c r="F6" i="109"/>
  <c r="F7" i="109"/>
  <c r="C20" i="8"/>
  <c r="F20" i="8" s="1"/>
  <c r="F5" i="109"/>
  <c r="C18" i="8"/>
  <c r="F18" i="8" s="1"/>
  <c r="K32" i="7"/>
  <c r="H42" i="12" s="1"/>
  <c r="K24" i="7"/>
  <c r="H34" i="12" s="1"/>
  <c r="K40" i="7"/>
  <c r="H50" i="12" s="1"/>
  <c r="K37" i="7"/>
  <c r="H47" i="12" s="1"/>
  <c r="K25" i="7"/>
  <c r="H35" i="12" s="1"/>
  <c r="K31" i="7"/>
  <c r="H41" i="12" s="1"/>
  <c r="K33" i="7"/>
  <c r="H43" i="12" s="1"/>
  <c r="K29" i="7"/>
  <c r="H39" i="12" s="1"/>
  <c r="K12" i="7"/>
  <c r="H22" i="12" s="1"/>
  <c r="L22" i="12" s="1"/>
  <c r="K38" i="7"/>
  <c r="H48" i="12" s="1"/>
  <c r="K18" i="7"/>
  <c r="H28" i="12" s="1"/>
  <c r="K8" i="7"/>
  <c r="H18" i="12" s="1"/>
  <c r="K26" i="7"/>
  <c r="H36" i="12" s="1"/>
  <c r="K11" i="7"/>
  <c r="H21" i="12" s="1"/>
  <c r="K27" i="7"/>
  <c r="H37" i="12" s="1"/>
  <c r="K17" i="7"/>
  <c r="H27" i="12" s="1"/>
  <c r="K35" i="7"/>
  <c r="H45" i="12" s="1"/>
  <c r="K21" i="7"/>
  <c r="H31" i="12" s="1"/>
  <c r="K22" i="7"/>
  <c r="H32" i="12" s="1"/>
  <c r="K20" i="7"/>
  <c r="H30" i="12" s="1"/>
  <c r="K19" i="7"/>
  <c r="H29" i="12" s="1"/>
  <c r="K10" i="7"/>
  <c r="H20" i="12" s="1"/>
  <c r="K13" i="7"/>
  <c r="H23" i="12" s="1"/>
  <c r="K9" i="7"/>
  <c r="H19" i="12" s="1"/>
  <c r="P19" i="12" s="1"/>
  <c r="K39" i="7"/>
  <c r="H49" i="12" s="1"/>
  <c r="L49" i="12" s="1"/>
  <c r="K30" i="7"/>
  <c r="H40" i="12" s="1"/>
  <c r="K34" i="7"/>
  <c r="H44" i="12" s="1"/>
  <c r="K14" i="7"/>
  <c r="H24" i="12" s="1"/>
  <c r="I24" i="12"/>
  <c r="M24" i="12" s="1"/>
  <c r="J9" i="127" s="1"/>
  <c r="I19" i="12"/>
  <c r="M19" i="12" s="1"/>
  <c r="J4" i="127" s="1"/>
  <c r="AH19" i="7"/>
  <c r="I29" i="12"/>
  <c r="M29" i="12" s="1"/>
  <c r="J14" i="127" s="1"/>
  <c r="I31" i="12"/>
  <c r="M31" i="12" s="1"/>
  <c r="J16" i="127" s="1"/>
  <c r="I48" i="12"/>
  <c r="M48" i="12" s="1"/>
  <c r="J32" i="127" s="1"/>
  <c r="I26" i="12"/>
  <c r="M26" i="12" s="1"/>
  <c r="J11" i="127" s="1"/>
  <c r="I30" i="12"/>
  <c r="M30" i="12" s="1"/>
  <c r="J15" i="127" s="1"/>
  <c r="AH11" i="7"/>
  <c r="I21" i="12"/>
  <c r="M21" i="12" s="1"/>
  <c r="J6" i="127" s="1"/>
  <c r="I52" i="12"/>
  <c r="M52" i="12" s="1"/>
  <c r="J36" i="127" s="1"/>
  <c r="I28" i="12"/>
  <c r="M28" i="12" s="1"/>
  <c r="J13" i="127" s="1"/>
  <c r="I32" i="12"/>
  <c r="M32" i="12" s="1"/>
  <c r="J17" i="127" s="1"/>
  <c r="AH17" i="7"/>
  <c r="I27" i="12"/>
  <c r="M27" i="12" s="1"/>
  <c r="J12" i="127" s="1"/>
  <c r="AH10" i="7"/>
  <c r="I20" i="12"/>
  <c r="M20" i="12" s="1"/>
  <c r="J5" i="127" s="1"/>
  <c r="AH8" i="7"/>
  <c r="I18" i="12"/>
  <c r="I23" i="12"/>
  <c r="M23" i="12" s="1"/>
  <c r="J8" i="127" s="1"/>
  <c r="AJ7" i="7"/>
  <c r="M194" i="7"/>
  <c r="J25" i="12"/>
  <c r="P44" i="7"/>
  <c r="F26" i="3" a="1"/>
  <c r="F26" i="3" s="1"/>
  <c r="F18" i="3" s="1" a="1"/>
  <c r="F18" i="3" s="1"/>
  <c r="D26" i="3" a="1"/>
  <c r="D26" i="3" s="1"/>
  <c r="D18" i="3" s="1" a="1"/>
  <c r="D18" i="3" s="1"/>
  <c r="C17" i="9"/>
  <c r="K7" i="7"/>
  <c r="Y7" i="7" s="1"/>
  <c r="I18" i="3" a="1"/>
  <c r="I18" i="3" s="1"/>
  <c r="K18" i="3" a="1"/>
  <c r="K18" i="3" s="1"/>
  <c r="J18" i="3" a="1"/>
  <c r="J18" i="3" s="1"/>
  <c r="L18" i="3" a="1"/>
  <c r="L18" i="3" s="1"/>
  <c r="C18" i="3" a="1"/>
  <c r="C18" i="3" s="1"/>
  <c r="E19" i="13"/>
  <c r="P7" i="7"/>
  <c r="Q194" i="7"/>
  <c r="P194" i="7"/>
  <c r="D7" i="11"/>
  <c r="B7" i="11"/>
  <c r="AJ18" i="7"/>
  <c r="AB18" i="7"/>
  <c r="AJ17" i="7"/>
  <c r="AB9" i="7"/>
  <c r="AJ9" i="7"/>
  <c r="AB17" i="7"/>
  <c r="AB10" i="7"/>
  <c r="AJ21" i="7"/>
  <c r="AJ22" i="7"/>
  <c r="AB22" i="7"/>
  <c r="AB13" i="7"/>
  <c r="AJ13" i="7"/>
  <c r="AJ10" i="7"/>
  <c r="B24" i="109"/>
  <c r="B14" i="109"/>
  <c r="B7" i="109"/>
  <c r="B12" i="109"/>
  <c r="B10" i="109"/>
  <c r="B18" i="109"/>
  <c r="B13" i="109"/>
  <c r="B16" i="109"/>
  <c r="B4" i="109"/>
  <c r="B5" i="109"/>
  <c r="B17" i="109"/>
  <c r="B8" i="109"/>
  <c r="B15" i="109"/>
  <c r="B6" i="109"/>
  <c r="AB14" i="7"/>
  <c r="AJ14" i="7"/>
  <c r="AJ20" i="7"/>
  <c r="AB21" i="7"/>
  <c r="W31" i="7"/>
  <c r="E27" i="13"/>
  <c r="D19" i="13"/>
  <c r="D27" i="13"/>
  <c r="B27" i="13"/>
  <c r="E23" i="126"/>
  <c r="E27" i="126"/>
  <c r="C7" i="18"/>
  <c r="C14" i="19" s="1"/>
  <c r="U12" i="7"/>
  <c r="U13" i="7"/>
  <c r="E26" i="126"/>
  <c r="E36" i="126"/>
  <c r="E35" i="126"/>
  <c r="E18" i="126"/>
  <c r="E28" i="126"/>
  <c r="M22" i="12"/>
  <c r="J7" i="127" s="1"/>
  <c r="Z34" i="7"/>
  <c r="M44" i="12"/>
  <c r="J28" i="127" s="1"/>
  <c r="Z35" i="7"/>
  <c r="M45" i="12"/>
  <c r="J29" i="127" s="1"/>
  <c r="Z28" i="7"/>
  <c r="M38" i="12"/>
  <c r="J22" i="127" s="1"/>
  <c r="Z36" i="7"/>
  <c r="M46" i="12"/>
  <c r="J30" i="127" s="1"/>
  <c r="Z25" i="7"/>
  <c r="M35" i="12"/>
  <c r="J19" i="127" s="1"/>
  <c r="Z33" i="7"/>
  <c r="M43" i="12"/>
  <c r="J27" i="127" s="1"/>
  <c r="Z37" i="7"/>
  <c r="M47" i="12"/>
  <c r="J31" i="127" s="1"/>
  <c r="Z32" i="7"/>
  <c r="M42" i="12"/>
  <c r="J26" i="127" s="1"/>
  <c r="Z39" i="7"/>
  <c r="M49" i="12"/>
  <c r="J33" i="127" s="1"/>
  <c r="Z26" i="7"/>
  <c r="M36" i="12"/>
  <c r="J20" i="127" s="1"/>
  <c r="Z41" i="7"/>
  <c r="M51" i="12"/>
  <c r="J35" i="127" s="1"/>
  <c r="Z40" i="7"/>
  <c r="M50" i="12"/>
  <c r="J34" i="127" s="1"/>
  <c r="Z27" i="7"/>
  <c r="M37" i="12"/>
  <c r="J21" i="127" s="1"/>
  <c r="Z29" i="7"/>
  <c r="M39" i="12"/>
  <c r="J23" i="127" s="1"/>
  <c r="Z30" i="7"/>
  <c r="M40" i="12"/>
  <c r="J24" i="127" s="1"/>
  <c r="Z31" i="7"/>
  <c r="M41" i="12"/>
  <c r="J25" i="127" s="1"/>
  <c r="Z24" i="7"/>
  <c r="Y28" i="7"/>
  <c r="N22" i="12"/>
  <c r="J7" i="128" s="1"/>
  <c r="N18" i="12"/>
  <c r="J3" i="128" s="1"/>
  <c r="I112" i="4"/>
  <c r="I81" i="4"/>
  <c r="I51" i="4"/>
  <c r="I109" i="4"/>
  <c r="I80" i="4"/>
  <c r="I87" i="4"/>
  <c r="I64" i="4"/>
  <c r="K21" i="12"/>
  <c r="O21" i="12" s="1"/>
  <c r="G6" i="129" s="1"/>
  <c r="D6" i="11"/>
  <c r="C6" i="11"/>
  <c r="B3" i="114"/>
  <c r="B6" i="11"/>
  <c r="K29" i="12"/>
  <c r="O29" i="12" s="1"/>
  <c r="G14" i="129" s="1"/>
  <c r="K26" i="12"/>
  <c r="O26" i="12" s="1"/>
  <c r="G11" i="129" s="1"/>
  <c r="K30" i="12"/>
  <c r="O30" i="12" s="1"/>
  <c r="G15" i="129" s="1"/>
  <c r="K18" i="12"/>
  <c r="K22" i="12"/>
  <c r="O22" i="12" s="1"/>
  <c r="G7" i="129" s="1"/>
  <c r="G4" i="111"/>
  <c r="G8" i="111"/>
  <c r="G12" i="111"/>
  <c r="G16" i="111"/>
  <c r="G21" i="111"/>
  <c r="G25" i="111"/>
  <c r="G29" i="111"/>
  <c r="G33" i="111"/>
  <c r="G37" i="111"/>
  <c r="G5" i="111"/>
  <c r="G9" i="111"/>
  <c r="G13" i="111"/>
  <c r="G17" i="111"/>
  <c r="G22" i="111"/>
  <c r="G26" i="111"/>
  <c r="G30" i="111"/>
  <c r="G34" i="111"/>
  <c r="G38" i="111"/>
  <c r="G6" i="111"/>
  <c r="G10" i="111"/>
  <c r="G14" i="111"/>
  <c r="G18" i="111"/>
  <c r="G23" i="111"/>
  <c r="G27" i="111"/>
  <c r="G31" i="111"/>
  <c r="G35" i="111"/>
  <c r="G3" i="111"/>
  <c r="G7" i="111"/>
  <c r="G11" i="111"/>
  <c r="G15" i="111"/>
  <c r="G20" i="111"/>
  <c r="G24" i="111"/>
  <c r="G28" i="111"/>
  <c r="G32" i="111"/>
  <c r="G36" i="111"/>
  <c r="W25" i="7"/>
  <c r="AB12" i="7"/>
  <c r="W42" i="7"/>
  <c r="W39" i="7"/>
  <c r="V20" i="7"/>
  <c r="U16" i="7"/>
  <c r="U27" i="7"/>
  <c r="U40" i="7"/>
  <c r="V21" i="7"/>
  <c r="U41" i="7"/>
  <c r="W34" i="7"/>
  <c r="W28" i="7"/>
  <c r="W19" i="7"/>
  <c r="U35" i="7"/>
  <c r="V32" i="7"/>
  <c r="U33" i="7"/>
  <c r="U11" i="7"/>
  <c r="U24" i="7"/>
  <c r="AJ8" i="7"/>
  <c r="AB19" i="7"/>
  <c r="AB16" i="7"/>
  <c r="AB11" i="7"/>
  <c r="AB15" i="7"/>
  <c r="W13" i="7"/>
  <c r="M8" i="7"/>
  <c r="V8" i="7"/>
  <c r="V37" i="7"/>
  <c r="U37" i="7"/>
  <c r="M13" i="7"/>
  <c r="W27" i="7"/>
  <c r="M17" i="7"/>
  <c r="U17" i="7"/>
  <c r="V17" i="7"/>
  <c r="W17" i="7"/>
  <c r="W38" i="7"/>
  <c r="M38" i="7"/>
  <c r="AA38" i="7" s="1"/>
  <c r="U38" i="7"/>
  <c r="W9" i="7"/>
  <c r="U9" i="7"/>
  <c r="V9" i="7"/>
  <c r="M9" i="7"/>
  <c r="W8" i="7"/>
  <c r="M27" i="7"/>
  <c r="AA27" i="7" s="1"/>
  <c r="U8" i="7"/>
  <c r="U29" i="7"/>
  <c r="V27" i="7"/>
  <c r="M31" i="7"/>
  <c r="AA31" i="7" s="1"/>
  <c r="U30" i="7"/>
  <c r="W30" i="7"/>
  <c r="M11" i="7"/>
  <c r="M24" i="7"/>
  <c r="U20" i="7"/>
  <c r="O200" i="7"/>
  <c r="AI13" i="7" s="1"/>
  <c r="N194" i="7"/>
  <c r="O194" i="7" s="1"/>
  <c r="W11" i="7"/>
  <c r="V34" i="7"/>
  <c r="V12" i="7"/>
  <c r="V30" i="7"/>
  <c r="U25" i="7"/>
  <c r="AA29" i="7"/>
  <c r="M34" i="7"/>
  <c r="V31" i="7"/>
  <c r="M32" i="7"/>
  <c r="U31" i="7"/>
  <c r="M41" i="7"/>
  <c r="U19" i="7"/>
  <c r="M12" i="7"/>
  <c r="V13" i="7"/>
  <c r="M19" i="7"/>
  <c r="V16" i="7"/>
  <c r="V19" i="7"/>
  <c r="M25" i="7"/>
  <c r="AA25" i="7" s="1"/>
  <c r="M20" i="7"/>
  <c r="V25" i="7"/>
  <c r="W33" i="7"/>
  <c r="V24" i="7"/>
  <c r="V41" i="7"/>
  <c r="AA30" i="7"/>
  <c r="W24" i="7"/>
  <c r="U42" i="7"/>
  <c r="M42" i="7"/>
  <c r="M40" i="7"/>
  <c r="M35" i="7"/>
  <c r="V35" i="7"/>
  <c r="U14" i="7"/>
  <c r="W32" i="7"/>
  <c r="W20" i="7"/>
  <c r="W29" i="7"/>
  <c r="M37" i="7"/>
  <c r="M21" i="7"/>
  <c r="V11" i="7"/>
  <c r="V36" i="7"/>
  <c r="W22" i="7"/>
  <c r="M39" i="7"/>
  <c r="AA39" i="7" s="1"/>
  <c r="V39" i="7"/>
  <c r="W14" i="7"/>
  <c r="V29" i="7"/>
  <c r="M33" i="7"/>
  <c r="U10" i="7"/>
  <c r="U34" i="7"/>
  <c r="U22" i="7"/>
  <c r="U39" i="7"/>
  <c r="U21" i="7"/>
  <c r="W21" i="7"/>
  <c r="V10" i="7"/>
  <c r="W18" i="7"/>
  <c r="M18" i="7"/>
  <c r="AA18" i="7" s="1"/>
  <c r="M26" i="7"/>
  <c r="W26" i="7"/>
  <c r="M16" i="7"/>
  <c r="W16" i="7"/>
  <c r="V28" i="7"/>
  <c r="M28" i="7"/>
  <c r="T28" i="7" s="1"/>
  <c r="U28" i="7"/>
  <c r="U26" i="7"/>
  <c r="V33" i="7"/>
  <c r="W37" i="7"/>
  <c r="V38" i="7"/>
  <c r="V42" i="7"/>
  <c r="W35" i="7"/>
  <c r="U32" i="7"/>
  <c r="V26" i="7"/>
  <c r="W12" i="7"/>
  <c r="V14" i="7"/>
  <c r="W41" i="7"/>
  <c r="V40" i="7"/>
  <c r="W40" i="7"/>
  <c r="W10" i="7"/>
  <c r="M10" i="7"/>
  <c r="AA10" i="7" s="1"/>
  <c r="W36" i="7"/>
  <c r="M36" i="7"/>
  <c r="U36" i="7"/>
  <c r="V18" i="7"/>
  <c r="U18" i="7"/>
  <c r="V22" i="7"/>
  <c r="Z38" i="7"/>
  <c r="Z42" i="7"/>
  <c r="AA22" i="7"/>
  <c r="AH12" i="7"/>
  <c r="Z18" i="7"/>
  <c r="AH18" i="7"/>
  <c r="Z16" i="7"/>
  <c r="AH16" i="7"/>
  <c r="Z21" i="7"/>
  <c r="AH21" i="7"/>
  <c r="Z22" i="7"/>
  <c r="AH22" i="7"/>
  <c r="Z20" i="7"/>
  <c r="AH20" i="7"/>
  <c r="Z9" i="7"/>
  <c r="AH9" i="7"/>
  <c r="Z13" i="7"/>
  <c r="AH13" i="7"/>
  <c r="Z14" i="7"/>
  <c r="AH14" i="7"/>
  <c r="Z11" i="7"/>
  <c r="Z12" i="7"/>
  <c r="Z17" i="7"/>
  <c r="Z19" i="7"/>
  <c r="Z8" i="7"/>
  <c r="Z10" i="7"/>
  <c r="D111" i="3"/>
  <c r="H19" i="19"/>
  <c r="D29" i="18"/>
  <c r="C6" i="18" s="1"/>
  <c r="D27" i="6"/>
  <c r="I6" i="127" l="1"/>
  <c r="B33" i="9"/>
  <c r="W11" i="20"/>
  <c r="AX11" i="20"/>
  <c r="W29" i="20"/>
  <c r="AX29" i="20"/>
  <c r="AZ29" i="20" s="1"/>
  <c r="W19" i="20"/>
  <c r="AX19" i="20"/>
  <c r="AZ19" i="20" s="1"/>
  <c r="W13" i="20"/>
  <c r="AX13" i="20"/>
  <c r="AZ13" i="20" s="1"/>
  <c r="W14" i="20"/>
  <c r="AX14" i="20"/>
  <c r="AZ14" i="20" s="1"/>
  <c r="W41" i="20"/>
  <c r="AX41" i="20"/>
  <c r="AZ41" i="20" s="1"/>
  <c r="W12" i="20"/>
  <c r="AX12" i="20"/>
  <c r="AZ12" i="20" s="1"/>
  <c r="W30" i="20"/>
  <c r="AX30" i="20"/>
  <c r="AZ30" i="20" s="1"/>
  <c r="W26" i="20"/>
  <c r="AX26" i="20"/>
  <c r="I10" i="127"/>
  <c r="I5" i="127"/>
  <c r="B31" i="109"/>
  <c r="L10" i="136"/>
  <c r="K10" i="136"/>
  <c r="V10" i="136" s="1"/>
  <c r="D24" i="8" s="1"/>
  <c r="L2" i="136"/>
  <c r="K2" i="136"/>
  <c r="V2" i="136" s="1"/>
  <c r="D16" i="8" s="1"/>
  <c r="B26" i="109"/>
  <c r="C8" i="10"/>
  <c r="C7" i="10"/>
  <c r="L7" i="7"/>
  <c r="AH7" i="7" s="1"/>
  <c r="Z15" i="7"/>
  <c r="P26" i="12"/>
  <c r="K11" i="126" s="1"/>
  <c r="AN15" i="7"/>
  <c r="J35" i="4" s="1"/>
  <c r="I30" i="4" s="1"/>
  <c r="M30" i="4" s="1"/>
  <c r="C8" i="14"/>
  <c r="F12" i="14"/>
  <c r="B23" i="109"/>
  <c r="I23" i="127"/>
  <c r="I29" i="127"/>
  <c r="I17" i="127"/>
  <c r="I9" i="127"/>
  <c r="F29" i="129"/>
  <c r="F2" i="129"/>
  <c r="F8" i="129"/>
  <c r="F11" i="129"/>
  <c r="F14" i="129"/>
  <c r="O7" i="7"/>
  <c r="C10" i="6"/>
  <c r="I19" i="127"/>
  <c r="I2" i="127"/>
  <c r="I24" i="127"/>
  <c r="I25" i="127"/>
  <c r="I26" i="127"/>
  <c r="I16" i="127"/>
  <c r="I12" i="127"/>
  <c r="I8" i="127"/>
  <c r="I4" i="127"/>
  <c r="F25" i="129"/>
  <c r="F9" i="129"/>
  <c r="F32" i="129"/>
  <c r="F16" i="129"/>
  <c r="F35" i="129"/>
  <c r="F19" i="129"/>
  <c r="F3" i="129"/>
  <c r="F22" i="129"/>
  <c r="F6" i="129"/>
  <c r="I27" i="127"/>
  <c r="I36" i="127"/>
  <c r="I20" i="127"/>
  <c r="I21" i="127"/>
  <c r="I22" i="127"/>
  <c r="I15" i="127"/>
  <c r="I11" i="127"/>
  <c r="I7" i="127"/>
  <c r="F5" i="129"/>
  <c r="F28" i="129"/>
  <c r="F12" i="129"/>
  <c r="F31" i="129"/>
  <c r="F15" i="129"/>
  <c r="F34" i="129"/>
  <c r="C9" i="8"/>
  <c r="G18" i="127" s="1"/>
  <c r="T9" i="20"/>
  <c r="B13" i="111"/>
  <c r="B12" i="111"/>
  <c r="B21" i="111"/>
  <c r="B9" i="111"/>
  <c r="B30" i="111"/>
  <c r="B11" i="111"/>
  <c r="B32" i="111"/>
  <c r="B35" i="111"/>
  <c r="B5" i="111"/>
  <c r="B7" i="111"/>
  <c r="B28" i="111"/>
  <c r="B37" i="111"/>
  <c r="B16" i="111"/>
  <c r="B26" i="111"/>
  <c r="B27" i="111"/>
  <c r="B20" i="111"/>
  <c r="B33" i="111"/>
  <c r="B10" i="111"/>
  <c r="B17" i="111"/>
  <c r="B23" i="111"/>
  <c r="B36" i="111"/>
  <c r="B15" i="111"/>
  <c r="B29" i="111"/>
  <c r="B34" i="111"/>
  <c r="B8" i="111"/>
  <c r="B18" i="111"/>
  <c r="F4" i="128"/>
  <c r="F6" i="128"/>
  <c r="F8" i="128"/>
  <c r="F10" i="128"/>
  <c r="F12" i="128"/>
  <c r="F14" i="128"/>
  <c r="F16" i="128"/>
  <c r="F7" i="128"/>
  <c r="F15" i="128"/>
  <c r="F18" i="128"/>
  <c r="F19" i="128"/>
  <c r="F23" i="128"/>
  <c r="F27" i="128"/>
  <c r="F31" i="128"/>
  <c r="F35" i="128"/>
  <c r="F3" i="128"/>
  <c r="F11" i="128"/>
  <c r="F21" i="128"/>
  <c r="F25" i="128"/>
  <c r="F29" i="128"/>
  <c r="F33" i="128"/>
  <c r="F5" i="128"/>
  <c r="F13" i="128"/>
  <c r="F22" i="128"/>
  <c r="F26" i="128"/>
  <c r="F30" i="128"/>
  <c r="F34" i="128"/>
  <c r="F2" i="128"/>
  <c r="F17" i="128"/>
  <c r="F9" i="128"/>
  <c r="F20" i="128"/>
  <c r="F24" i="128"/>
  <c r="F28" i="128"/>
  <c r="F32" i="128"/>
  <c r="F36" i="128"/>
  <c r="H4" i="127"/>
  <c r="H8" i="127"/>
  <c r="H12" i="127"/>
  <c r="H6" i="127"/>
  <c r="H10" i="127"/>
  <c r="H14" i="127"/>
  <c r="H5" i="127"/>
  <c r="H9" i="127"/>
  <c r="H13" i="127"/>
  <c r="H17" i="127"/>
  <c r="H7" i="127"/>
  <c r="H16" i="127"/>
  <c r="H19" i="127"/>
  <c r="H21" i="127"/>
  <c r="H23" i="127"/>
  <c r="H25" i="127"/>
  <c r="H27" i="127"/>
  <c r="H29" i="127"/>
  <c r="H31" i="127"/>
  <c r="H33" i="127"/>
  <c r="H35" i="127"/>
  <c r="H3" i="127"/>
  <c r="H11" i="127"/>
  <c r="H15" i="127"/>
  <c r="H18" i="127"/>
  <c r="H20" i="127"/>
  <c r="H22" i="127"/>
  <c r="H24" i="127"/>
  <c r="H26" i="127"/>
  <c r="H28" i="127"/>
  <c r="H30" i="127"/>
  <c r="H32" i="127"/>
  <c r="H34" i="127"/>
  <c r="H36" i="127"/>
  <c r="H2" i="127"/>
  <c r="E6" i="127"/>
  <c r="E10" i="127"/>
  <c r="E14" i="127"/>
  <c r="E18" i="127"/>
  <c r="E22" i="127"/>
  <c r="E26" i="127"/>
  <c r="E30" i="127"/>
  <c r="E34" i="127"/>
  <c r="E3" i="127"/>
  <c r="E7" i="127"/>
  <c r="E11" i="127"/>
  <c r="E15" i="127"/>
  <c r="E19" i="127"/>
  <c r="E23" i="127"/>
  <c r="E27" i="127"/>
  <c r="E31" i="127"/>
  <c r="E35" i="127"/>
  <c r="E4" i="127"/>
  <c r="E8" i="127"/>
  <c r="E12" i="127"/>
  <c r="E16" i="127"/>
  <c r="E20" i="127"/>
  <c r="E24" i="127"/>
  <c r="E28" i="127"/>
  <c r="E32" i="127"/>
  <c r="E36" i="127"/>
  <c r="E9" i="127"/>
  <c r="E25" i="127"/>
  <c r="E13" i="127"/>
  <c r="E29" i="127"/>
  <c r="E33" i="127"/>
  <c r="E5" i="127"/>
  <c r="E21" i="127"/>
  <c r="E2" i="127"/>
  <c r="E17" i="127"/>
  <c r="J4" i="126"/>
  <c r="J8" i="126"/>
  <c r="J12" i="126"/>
  <c r="J16" i="126"/>
  <c r="J20" i="126"/>
  <c r="J24" i="126"/>
  <c r="J28" i="126"/>
  <c r="J32" i="126"/>
  <c r="J36" i="126"/>
  <c r="J5" i="126"/>
  <c r="J9" i="126"/>
  <c r="J13" i="126"/>
  <c r="J17" i="126"/>
  <c r="J21" i="126"/>
  <c r="J25" i="126"/>
  <c r="J29" i="126"/>
  <c r="J33" i="126"/>
  <c r="J2" i="126"/>
  <c r="J6" i="126"/>
  <c r="J10" i="126"/>
  <c r="J14" i="126"/>
  <c r="J18" i="126"/>
  <c r="J22" i="126"/>
  <c r="J26" i="126"/>
  <c r="J30" i="126"/>
  <c r="J34" i="126"/>
  <c r="J7" i="126"/>
  <c r="J23" i="126"/>
  <c r="J11" i="126"/>
  <c r="J27" i="126"/>
  <c r="J15" i="126"/>
  <c r="J31" i="126"/>
  <c r="J3" i="126"/>
  <c r="J19" i="126"/>
  <c r="J35" i="126"/>
  <c r="C7" i="19"/>
  <c r="E3" i="128"/>
  <c r="E4" i="128"/>
  <c r="E5" i="128"/>
  <c r="E6" i="128"/>
  <c r="E7" i="128"/>
  <c r="E8" i="128"/>
  <c r="E9" i="128"/>
  <c r="E10" i="128"/>
  <c r="E11" i="128"/>
  <c r="E12" i="128"/>
  <c r="E13" i="128"/>
  <c r="E14" i="128"/>
  <c r="E15" i="128"/>
  <c r="E16" i="128"/>
  <c r="E17" i="128"/>
  <c r="E19" i="128"/>
  <c r="E20" i="128"/>
  <c r="E21" i="128"/>
  <c r="E22" i="128"/>
  <c r="E23" i="128"/>
  <c r="E24" i="128"/>
  <c r="E25" i="128"/>
  <c r="E26" i="128"/>
  <c r="E27" i="128"/>
  <c r="E28" i="128"/>
  <c r="E29" i="128"/>
  <c r="E30" i="128"/>
  <c r="E31" i="128"/>
  <c r="E32" i="128"/>
  <c r="E33" i="128"/>
  <c r="E34" i="128"/>
  <c r="E35" i="128"/>
  <c r="E36" i="128"/>
  <c r="E18" i="128"/>
  <c r="E2" i="128"/>
  <c r="I19" i="128"/>
  <c r="I20" i="128"/>
  <c r="I21" i="128"/>
  <c r="I22" i="128"/>
  <c r="I23" i="128"/>
  <c r="I24" i="128"/>
  <c r="I25" i="128"/>
  <c r="I26" i="128"/>
  <c r="I27" i="128"/>
  <c r="I28" i="128"/>
  <c r="I29" i="128"/>
  <c r="I30" i="128"/>
  <c r="I31" i="128"/>
  <c r="I32" i="128"/>
  <c r="I33" i="128"/>
  <c r="I34" i="128"/>
  <c r="I35" i="128"/>
  <c r="I36" i="128"/>
  <c r="I18" i="128"/>
  <c r="I6" i="128"/>
  <c r="I10" i="128"/>
  <c r="I14" i="128"/>
  <c r="I4" i="128"/>
  <c r="I16" i="128"/>
  <c r="I5" i="128"/>
  <c r="I9" i="128"/>
  <c r="I13" i="128"/>
  <c r="I17" i="128"/>
  <c r="I8" i="128"/>
  <c r="I3" i="128"/>
  <c r="I7" i="128"/>
  <c r="I11" i="128"/>
  <c r="I15" i="128"/>
  <c r="I2" i="128"/>
  <c r="I12" i="128"/>
  <c r="D3" i="127"/>
  <c r="D7" i="127"/>
  <c r="D11" i="127"/>
  <c r="D15" i="127"/>
  <c r="D19" i="127"/>
  <c r="D23" i="127"/>
  <c r="D27" i="127"/>
  <c r="D31" i="127"/>
  <c r="D35" i="127"/>
  <c r="D4" i="127"/>
  <c r="D8" i="127"/>
  <c r="D12" i="127"/>
  <c r="D16" i="127"/>
  <c r="D20" i="127"/>
  <c r="D24" i="127"/>
  <c r="D28" i="127"/>
  <c r="D32" i="127"/>
  <c r="D36" i="127"/>
  <c r="D10" i="127"/>
  <c r="D14" i="127"/>
  <c r="D18" i="127"/>
  <c r="D22" i="127"/>
  <c r="D26" i="127"/>
  <c r="D30" i="127"/>
  <c r="D34" i="127"/>
  <c r="D5" i="127"/>
  <c r="D9" i="127"/>
  <c r="D13" i="127"/>
  <c r="D17" i="127"/>
  <c r="D21" i="127"/>
  <c r="D25" i="127"/>
  <c r="D29" i="127"/>
  <c r="D33" i="127"/>
  <c r="D2" i="127"/>
  <c r="D6" i="127"/>
  <c r="I7" i="7"/>
  <c r="M7" i="7" s="1"/>
  <c r="T36" i="7"/>
  <c r="L130" i="4" s="1"/>
  <c r="I22" i="4" s="1"/>
  <c r="M22" i="4" s="1"/>
  <c r="Y16" i="7"/>
  <c r="J17" i="12"/>
  <c r="Y15" i="7"/>
  <c r="Q42" i="7"/>
  <c r="I143" i="4" s="1"/>
  <c r="Y36" i="7"/>
  <c r="AG16" i="7"/>
  <c r="AL16" i="7" s="1"/>
  <c r="Y42" i="7"/>
  <c r="Y31" i="7"/>
  <c r="AF31" i="7" s="1"/>
  <c r="Y41" i="7"/>
  <c r="X16" i="7"/>
  <c r="Y35" i="7"/>
  <c r="R41" i="7"/>
  <c r="J141" i="4" s="1"/>
  <c r="Y38" i="7"/>
  <c r="AF38" i="7" s="1"/>
  <c r="Y24" i="7"/>
  <c r="Q24" i="7"/>
  <c r="I115" i="4" s="1"/>
  <c r="F10" i="4" s="1"/>
  <c r="Y32" i="7"/>
  <c r="R32" i="7"/>
  <c r="J126" i="4" s="1"/>
  <c r="S30" i="7"/>
  <c r="K123" i="4" s="1"/>
  <c r="H16" i="4" s="1"/>
  <c r="L16" i="4" s="1"/>
  <c r="AG22" i="7"/>
  <c r="AL22" i="7" s="1"/>
  <c r="P28" i="5" s="1"/>
  <c r="Y37" i="7"/>
  <c r="Y18" i="7"/>
  <c r="AD18" i="7" s="1"/>
  <c r="Q30" i="7"/>
  <c r="I123" i="4" s="1"/>
  <c r="Y30" i="7"/>
  <c r="AF30" i="7" s="1"/>
  <c r="Y27" i="7"/>
  <c r="AF27" i="7" s="1"/>
  <c r="Y29" i="7"/>
  <c r="AE29" i="7" s="1"/>
  <c r="Y8" i="7"/>
  <c r="T33" i="7"/>
  <c r="L127" i="4" s="1"/>
  <c r="I19" i="4" s="1"/>
  <c r="M19" i="4" s="1"/>
  <c r="S29" i="7"/>
  <c r="K122" i="4" s="1"/>
  <c r="H15" i="4" s="1"/>
  <c r="L15" i="4" s="1"/>
  <c r="Q29" i="7"/>
  <c r="I122" i="4" s="1"/>
  <c r="Y40" i="7"/>
  <c r="AG8" i="7"/>
  <c r="AL8" i="7" s="1"/>
  <c r="P14" i="5" s="1"/>
  <c r="AG21" i="7"/>
  <c r="AK21" i="7" s="1"/>
  <c r="O27" i="5" s="1"/>
  <c r="AG18" i="7"/>
  <c r="AM18" i="7" s="1"/>
  <c r="Q24" i="5" s="1"/>
  <c r="T37" i="7"/>
  <c r="L132" i="4" s="1"/>
  <c r="S40" i="7"/>
  <c r="K139" i="4" s="1"/>
  <c r="H26" i="4" s="1"/>
  <c r="L26" i="4" s="1"/>
  <c r="Y25" i="7"/>
  <c r="AE25" i="7" s="1"/>
  <c r="Y33" i="7"/>
  <c r="Y22" i="7"/>
  <c r="AF22" i="7" s="1"/>
  <c r="Y17" i="7"/>
  <c r="X29" i="7"/>
  <c r="R29" i="7"/>
  <c r="J122" i="4" s="1"/>
  <c r="T29" i="7"/>
  <c r="L122" i="4" s="1"/>
  <c r="I15" i="4" s="1"/>
  <c r="M15" i="4" s="1"/>
  <c r="Y13" i="7"/>
  <c r="Y12" i="7"/>
  <c r="Y10" i="7"/>
  <c r="AC10" i="7" s="1"/>
  <c r="R22" i="7"/>
  <c r="R14" i="7"/>
  <c r="AG12" i="7"/>
  <c r="AK12" i="7" s="1"/>
  <c r="O18" i="5" s="1"/>
  <c r="T12" i="7"/>
  <c r="Q22" i="7"/>
  <c r="T30" i="7"/>
  <c r="L123" i="4" s="1"/>
  <c r="I16" i="4" s="1"/>
  <c r="M16" i="4" s="1"/>
  <c r="X30" i="7"/>
  <c r="Y21" i="7"/>
  <c r="AG10" i="7"/>
  <c r="AK10" i="7" s="1"/>
  <c r="O16" i="5" s="1"/>
  <c r="R30" i="7"/>
  <c r="J123" i="4" s="1"/>
  <c r="T21" i="7"/>
  <c r="Y39" i="7"/>
  <c r="AF39" i="7" s="1"/>
  <c r="L138" i="4" s="1"/>
  <c r="T22" i="7"/>
  <c r="AG9" i="7"/>
  <c r="AL9" i="7" s="1"/>
  <c r="P15" i="5" s="1"/>
  <c r="T26" i="7"/>
  <c r="L117" i="4" s="1"/>
  <c r="I12" i="4" s="1"/>
  <c r="M12" i="4" s="1"/>
  <c r="Y26" i="7"/>
  <c r="X22" i="7"/>
  <c r="AG13" i="7"/>
  <c r="AK13" i="7" s="1"/>
  <c r="O19" i="5" s="1"/>
  <c r="AG14" i="7"/>
  <c r="AK14" i="7" s="1"/>
  <c r="O20" i="5" s="1"/>
  <c r="AG17" i="7"/>
  <c r="AK17" i="7" s="1"/>
  <c r="O23" i="5" s="1"/>
  <c r="S22" i="7"/>
  <c r="Q34" i="7"/>
  <c r="I128" i="4" s="1"/>
  <c r="R17" i="7"/>
  <c r="R13" i="7"/>
  <c r="Q8" i="7"/>
  <c r="Y34" i="7"/>
  <c r="Q35" i="7"/>
  <c r="I129" i="4" s="1"/>
  <c r="R11" i="7"/>
  <c r="Y11" i="7"/>
  <c r="AG11" i="7"/>
  <c r="AN11" i="7" s="1"/>
  <c r="AG20" i="7"/>
  <c r="AM20" i="7" s="1"/>
  <c r="Q26" i="5" s="1"/>
  <c r="R20" i="7"/>
  <c r="Y14" i="7"/>
  <c r="AC14" i="7" s="1"/>
  <c r="Y9" i="7"/>
  <c r="S14" i="7"/>
  <c r="T14" i="7"/>
  <c r="Q9" i="7"/>
  <c r="X14" i="7"/>
  <c r="Y20" i="7"/>
  <c r="Q14" i="7"/>
  <c r="Y19" i="7"/>
  <c r="AG19" i="7"/>
  <c r="AN19" i="7" s="1"/>
  <c r="Q19" i="7"/>
  <c r="L19" i="12"/>
  <c r="L52" i="12"/>
  <c r="B10" i="6"/>
  <c r="E71" i="12"/>
  <c r="H71" i="12" s="1"/>
  <c r="I71" i="12" s="1"/>
  <c r="E91" i="12"/>
  <c r="H91" i="12" s="1"/>
  <c r="I91" i="12" s="1"/>
  <c r="E84" i="12"/>
  <c r="H84" i="12" s="1"/>
  <c r="I84" i="12" s="1"/>
  <c r="E89" i="12"/>
  <c r="H89" i="12" s="1"/>
  <c r="I89" i="12" s="1"/>
  <c r="E63" i="12"/>
  <c r="H63" i="12" s="1"/>
  <c r="I63" i="12" s="1"/>
  <c r="E64" i="12"/>
  <c r="H64" i="12" s="1"/>
  <c r="I64" i="12" s="1"/>
  <c r="E79" i="12"/>
  <c r="H79" i="12" s="1"/>
  <c r="I79" i="12" s="1"/>
  <c r="E65" i="12"/>
  <c r="H65" i="12" s="1"/>
  <c r="I65" i="12" s="1"/>
  <c r="E74" i="12"/>
  <c r="H74" i="12" s="1"/>
  <c r="I74" i="12" s="1"/>
  <c r="E82" i="12"/>
  <c r="H82" i="12" s="1"/>
  <c r="I82" i="12" s="1"/>
  <c r="E81" i="12"/>
  <c r="H81" i="12" s="1"/>
  <c r="I81" i="12" s="1"/>
  <c r="E96" i="12"/>
  <c r="H96" i="12" s="1"/>
  <c r="I96" i="12" s="1"/>
  <c r="B8" i="6"/>
  <c r="B8" i="16"/>
  <c r="F10" i="126" s="1"/>
  <c r="E76" i="12"/>
  <c r="H76" i="12" s="1"/>
  <c r="I76" i="12" s="1"/>
  <c r="E95" i="12"/>
  <c r="H95" i="12" s="1"/>
  <c r="I95" i="12" s="1"/>
  <c r="E92" i="12"/>
  <c r="H92" i="12" s="1"/>
  <c r="I92" i="12" s="1"/>
  <c r="E78" i="12"/>
  <c r="E75" i="12"/>
  <c r="H75" i="12" s="1"/>
  <c r="I75" i="12" s="1"/>
  <c r="E72" i="12"/>
  <c r="H72" i="12" s="1"/>
  <c r="I72" i="12" s="1"/>
  <c r="E62" i="12"/>
  <c r="H62" i="12" s="1"/>
  <c r="E83" i="12"/>
  <c r="H83" i="12" s="1"/>
  <c r="I83" i="12" s="1"/>
  <c r="E67" i="12"/>
  <c r="H67" i="12" s="1"/>
  <c r="I67" i="12" s="1"/>
  <c r="E68" i="12"/>
  <c r="H68" i="12" s="1"/>
  <c r="I68" i="12" s="1"/>
  <c r="E86" i="12"/>
  <c r="H86" i="12" s="1"/>
  <c r="I86" i="12" s="1"/>
  <c r="E88" i="12"/>
  <c r="H88" i="12" s="1"/>
  <c r="I88" i="12" s="1"/>
  <c r="E85" i="12"/>
  <c r="H85" i="12" s="1"/>
  <c r="I85" i="12" s="1"/>
  <c r="E90" i="12"/>
  <c r="H90" i="12" s="1"/>
  <c r="I90" i="12" s="1"/>
  <c r="E94" i="12"/>
  <c r="H94" i="12" s="1"/>
  <c r="I94" i="12" s="1"/>
  <c r="E66" i="12"/>
  <c r="H66" i="12" s="1"/>
  <c r="I66" i="12" s="1"/>
  <c r="E87" i="12"/>
  <c r="H87" i="12" s="1"/>
  <c r="I87" i="12" s="1"/>
  <c r="E73" i="12"/>
  <c r="H73" i="12" s="1"/>
  <c r="I73" i="12" s="1"/>
  <c r="E80" i="12"/>
  <c r="H80" i="12" s="1"/>
  <c r="I80" i="12" s="1"/>
  <c r="E93" i="12"/>
  <c r="H93" i="12" s="1"/>
  <c r="I93" i="12" s="1"/>
  <c r="P22" i="12"/>
  <c r="P49" i="12"/>
  <c r="B26" i="3" a="1"/>
  <c r="B26" i="3" s="1"/>
  <c r="B18" i="3" s="1" a="1"/>
  <c r="B18" i="3" s="1"/>
  <c r="AG7" i="7"/>
  <c r="O18" i="12"/>
  <c r="M18" i="12"/>
  <c r="J3" i="127" s="1"/>
  <c r="M34" i="12"/>
  <c r="J18" i="127" s="1"/>
  <c r="I25" i="12"/>
  <c r="I17" i="12" s="1"/>
  <c r="C27" i="13"/>
  <c r="D11" i="111" s="1"/>
  <c r="C19" i="13"/>
  <c r="D3" i="111" s="1"/>
  <c r="B30" i="109"/>
  <c r="B32" i="109"/>
  <c r="B21" i="109"/>
  <c r="B36" i="109"/>
  <c r="B20" i="109"/>
  <c r="B27" i="109"/>
  <c r="B28" i="109"/>
  <c r="B22" i="109"/>
  <c r="B29" i="109"/>
  <c r="B37" i="109"/>
  <c r="B38" i="109"/>
  <c r="B35" i="109"/>
  <c r="B25" i="109"/>
  <c r="L7" i="19"/>
  <c r="D36" i="129"/>
  <c r="D20" i="129"/>
  <c r="D4" i="129"/>
  <c r="D23" i="129"/>
  <c r="D7" i="129"/>
  <c r="D26" i="129"/>
  <c r="D10" i="129"/>
  <c r="D29" i="129"/>
  <c r="D13" i="129"/>
  <c r="D32" i="129"/>
  <c r="D16" i="129"/>
  <c r="D35" i="129"/>
  <c r="D19" i="129"/>
  <c r="D3" i="129"/>
  <c r="D22" i="129"/>
  <c r="D6" i="129"/>
  <c r="D25" i="129"/>
  <c r="D9" i="129"/>
  <c r="D28" i="129"/>
  <c r="D12" i="129"/>
  <c r="D31" i="129"/>
  <c r="D15" i="129"/>
  <c r="D34" i="129"/>
  <c r="D18" i="129"/>
  <c r="D2" i="129"/>
  <c r="D21" i="129"/>
  <c r="D5" i="129"/>
  <c r="D24" i="129"/>
  <c r="D8" i="129"/>
  <c r="D27" i="129"/>
  <c r="D11" i="129"/>
  <c r="D30" i="129"/>
  <c r="D14" i="129"/>
  <c r="D33" i="129"/>
  <c r="D17" i="129"/>
  <c r="I7" i="19"/>
  <c r="B9" i="109"/>
  <c r="B34" i="109"/>
  <c r="B33" i="109"/>
  <c r="E16" i="114"/>
  <c r="E17" i="114"/>
  <c r="E6" i="114"/>
  <c r="E14" i="114"/>
  <c r="E9" i="114"/>
  <c r="E8" i="114"/>
  <c r="E5" i="114"/>
  <c r="E18" i="114"/>
  <c r="E13" i="114"/>
  <c r="F17" i="112"/>
  <c r="F13" i="112"/>
  <c r="F6" i="112"/>
  <c r="F14" i="112"/>
  <c r="F8" i="112"/>
  <c r="F9" i="112"/>
  <c r="F10" i="112"/>
  <c r="F5" i="112"/>
  <c r="F18" i="112"/>
  <c r="E10" i="114"/>
  <c r="C11" i="114"/>
  <c r="D11" i="112"/>
  <c r="L121" i="4"/>
  <c r="I14" i="4" s="1"/>
  <c r="M14" i="4" s="1"/>
  <c r="D9" i="6"/>
  <c r="D10" i="6" s="1"/>
  <c r="J10" i="19"/>
  <c r="N50" i="12"/>
  <c r="J34" i="128" s="1"/>
  <c r="N49" i="12"/>
  <c r="J33" i="128" s="1"/>
  <c r="N37" i="12"/>
  <c r="J21" i="128" s="1"/>
  <c r="N51" i="12"/>
  <c r="J35" i="128" s="1"/>
  <c r="N35" i="12"/>
  <c r="J19" i="128" s="1"/>
  <c r="N46" i="12"/>
  <c r="J30" i="128" s="1"/>
  <c r="N41" i="12"/>
  <c r="J25" i="128" s="1"/>
  <c r="N52" i="12"/>
  <c r="J36" i="128" s="1"/>
  <c r="N47" i="12"/>
  <c r="J31" i="128" s="1"/>
  <c r="N48" i="12"/>
  <c r="J32" i="128" s="1"/>
  <c r="N42" i="12"/>
  <c r="J26" i="128" s="1"/>
  <c r="N44" i="12"/>
  <c r="J28" i="128" s="1"/>
  <c r="N43" i="12"/>
  <c r="J27" i="128" s="1"/>
  <c r="N40" i="12"/>
  <c r="J24" i="128" s="1"/>
  <c r="N38" i="12"/>
  <c r="J22" i="128" s="1"/>
  <c r="N45" i="12"/>
  <c r="J29" i="128" s="1"/>
  <c r="N36" i="12"/>
  <c r="J20" i="128" s="1"/>
  <c r="N39" i="12"/>
  <c r="J23" i="128" s="1"/>
  <c r="B6" i="111"/>
  <c r="B24" i="111"/>
  <c r="B3" i="111"/>
  <c r="B25" i="111"/>
  <c r="B38" i="111"/>
  <c r="B22" i="111"/>
  <c r="B31" i="111"/>
  <c r="B14" i="111"/>
  <c r="B4" i="111"/>
  <c r="C24" i="111"/>
  <c r="C13" i="111"/>
  <c r="C12" i="111"/>
  <c r="C37" i="111"/>
  <c r="C11" i="111"/>
  <c r="C31" i="111"/>
  <c r="C14" i="111"/>
  <c r="C34" i="111"/>
  <c r="C21" i="111"/>
  <c r="C32" i="111"/>
  <c r="C5" i="111"/>
  <c r="C4" i="111"/>
  <c r="C16" i="111"/>
  <c r="C7" i="111"/>
  <c r="C27" i="111"/>
  <c r="C10" i="111"/>
  <c r="C30" i="111"/>
  <c r="C28" i="111"/>
  <c r="C33" i="111"/>
  <c r="C17" i="111"/>
  <c r="C8" i="111"/>
  <c r="C3" i="111"/>
  <c r="C20" i="111"/>
  <c r="C23" i="111"/>
  <c r="C6" i="111"/>
  <c r="C26" i="111"/>
  <c r="C29" i="111"/>
  <c r="F7" i="19"/>
  <c r="C9" i="111"/>
  <c r="C36" i="111"/>
  <c r="C15" i="111"/>
  <c r="C35" i="111"/>
  <c r="C18" i="111"/>
  <c r="C38" i="111"/>
  <c r="C22" i="111"/>
  <c r="C25" i="111"/>
  <c r="C23" i="112"/>
  <c r="H23" i="112" s="1"/>
  <c r="C27" i="112"/>
  <c r="H27" i="112" s="1"/>
  <c r="C31" i="112"/>
  <c r="H31" i="112" s="1"/>
  <c r="C35" i="112"/>
  <c r="H35" i="112" s="1"/>
  <c r="C20" i="112"/>
  <c r="H20" i="112" s="1"/>
  <c r="C7" i="112"/>
  <c r="H7" i="112" s="1"/>
  <c r="C11" i="112"/>
  <c r="C15" i="112"/>
  <c r="H15" i="112" s="1"/>
  <c r="C3" i="112"/>
  <c r="C24" i="112"/>
  <c r="H24" i="112" s="1"/>
  <c r="C28" i="112"/>
  <c r="H28" i="112" s="1"/>
  <c r="C32" i="112"/>
  <c r="H32" i="112" s="1"/>
  <c r="C36" i="112"/>
  <c r="H36" i="112" s="1"/>
  <c r="C4" i="112"/>
  <c r="H4" i="112" s="1"/>
  <c r="C8" i="112"/>
  <c r="H8" i="112" s="1"/>
  <c r="C12" i="112"/>
  <c r="H12" i="112" s="1"/>
  <c r="C16" i="112"/>
  <c r="H16" i="112" s="1"/>
  <c r="C21" i="112"/>
  <c r="H21" i="112" s="1"/>
  <c r="C25" i="112"/>
  <c r="H25" i="112" s="1"/>
  <c r="C29" i="112"/>
  <c r="H29" i="112" s="1"/>
  <c r="C33" i="112"/>
  <c r="H33" i="112" s="1"/>
  <c r="C37" i="112"/>
  <c r="H37" i="112" s="1"/>
  <c r="C5" i="112"/>
  <c r="H5" i="112" s="1"/>
  <c r="C9" i="112"/>
  <c r="H9" i="112" s="1"/>
  <c r="C13" i="112"/>
  <c r="H13" i="112" s="1"/>
  <c r="C17" i="112"/>
  <c r="H17" i="112" s="1"/>
  <c r="C22" i="112"/>
  <c r="H22" i="112" s="1"/>
  <c r="C26" i="112"/>
  <c r="H26" i="112" s="1"/>
  <c r="C30" i="112"/>
  <c r="H30" i="112" s="1"/>
  <c r="C34" i="112"/>
  <c r="H34" i="112" s="1"/>
  <c r="C38" i="112"/>
  <c r="H38" i="112" s="1"/>
  <c r="C6" i="112"/>
  <c r="H6" i="112" s="1"/>
  <c r="C10" i="112"/>
  <c r="H10" i="112" s="1"/>
  <c r="C14" i="112"/>
  <c r="H14" i="112" s="1"/>
  <c r="C18" i="112"/>
  <c r="H18" i="112" s="1"/>
  <c r="K40" i="12"/>
  <c r="O40" i="12" s="1"/>
  <c r="G24" i="129" s="1"/>
  <c r="K38" i="12"/>
  <c r="O38" i="12" s="1"/>
  <c r="G22" i="129" s="1"/>
  <c r="K45" i="12"/>
  <c r="O45" i="12" s="1"/>
  <c r="G29" i="129" s="1"/>
  <c r="K36" i="12"/>
  <c r="O36" i="12" s="1"/>
  <c r="G20" i="129" s="1"/>
  <c r="K39" i="12"/>
  <c r="O39" i="12" s="1"/>
  <c r="G23" i="129" s="1"/>
  <c r="K50" i="12"/>
  <c r="O50" i="12" s="1"/>
  <c r="G34" i="129" s="1"/>
  <c r="K46" i="12"/>
  <c r="O46" i="12" s="1"/>
  <c r="G30" i="129" s="1"/>
  <c r="K41" i="12"/>
  <c r="O41" i="12" s="1"/>
  <c r="G25" i="129" s="1"/>
  <c r="K52" i="12"/>
  <c r="O52" i="12" s="1"/>
  <c r="G36" i="129" s="1"/>
  <c r="K47" i="12"/>
  <c r="O47" i="12" s="1"/>
  <c r="G31" i="129" s="1"/>
  <c r="K49" i="12"/>
  <c r="O49" i="12" s="1"/>
  <c r="G33" i="129" s="1"/>
  <c r="K37" i="12"/>
  <c r="O37" i="12" s="1"/>
  <c r="G21" i="129" s="1"/>
  <c r="K51" i="12"/>
  <c r="O51" i="12" s="1"/>
  <c r="G35" i="129" s="1"/>
  <c r="K35" i="12"/>
  <c r="O35" i="12" s="1"/>
  <c r="G19" i="129" s="1"/>
  <c r="B5" i="114"/>
  <c r="G5" i="114" s="1"/>
  <c r="B9" i="114"/>
  <c r="G9" i="114" s="1"/>
  <c r="B13" i="114"/>
  <c r="G13" i="114" s="1"/>
  <c r="B17" i="114"/>
  <c r="G17" i="114" s="1"/>
  <c r="J17" i="114" s="1"/>
  <c r="B22" i="114"/>
  <c r="G22" i="114" s="1"/>
  <c r="B26" i="114"/>
  <c r="G26" i="114" s="1"/>
  <c r="B30" i="114"/>
  <c r="G30" i="114" s="1"/>
  <c r="B34" i="114"/>
  <c r="G34" i="114" s="1"/>
  <c r="B38" i="114"/>
  <c r="G38" i="114" s="1"/>
  <c r="B6" i="114"/>
  <c r="G6" i="114" s="1"/>
  <c r="B10" i="114"/>
  <c r="G10" i="114" s="1"/>
  <c r="B14" i="114"/>
  <c r="G14" i="114" s="1"/>
  <c r="B18" i="114"/>
  <c r="G18" i="114" s="1"/>
  <c r="B23" i="114"/>
  <c r="G23" i="114" s="1"/>
  <c r="B27" i="114"/>
  <c r="G27" i="114" s="1"/>
  <c r="B31" i="114"/>
  <c r="G31" i="114" s="1"/>
  <c r="B35" i="114"/>
  <c r="G35" i="114" s="1"/>
  <c r="B7" i="114"/>
  <c r="G7" i="114" s="1"/>
  <c r="B11" i="114"/>
  <c r="B15" i="114"/>
  <c r="G15" i="114" s="1"/>
  <c r="B20" i="114"/>
  <c r="G20" i="114" s="1"/>
  <c r="B24" i="114"/>
  <c r="G24" i="114" s="1"/>
  <c r="B28" i="114"/>
  <c r="G28" i="114" s="1"/>
  <c r="B32" i="114"/>
  <c r="G32" i="114" s="1"/>
  <c r="B36" i="114"/>
  <c r="G36" i="114" s="1"/>
  <c r="B4" i="114"/>
  <c r="G4" i="114" s="1"/>
  <c r="B8" i="114"/>
  <c r="G8" i="114" s="1"/>
  <c r="B12" i="114"/>
  <c r="G12" i="114" s="1"/>
  <c r="B16" i="114"/>
  <c r="G16" i="114" s="1"/>
  <c r="B21" i="114"/>
  <c r="G21" i="114" s="1"/>
  <c r="B25" i="114"/>
  <c r="G25" i="114" s="1"/>
  <c r="B29" i="114"/>
  <c r="G29" i="114" s="1"/>
  <c r="B33" i="114"/>
  <c r="G33" i="114" s="1"/>
  <c r="B37" i="114"/>
  <c r="G37" i="114" s="1"/>
  <c r="K48" i="12"/>
  <c r="O48" i="12" s="1"/>
  <c r="G32" i="129" s="1"/>
  <c r="K42" i="12"/>
  <c r="O42" i="12" s="1"/>
  <c r="G26" i="129" s="1"/>
  <c r="K34" i="12"/>
  <c r="K44" i="12"/>
  <c r="O44" i="12" s="1"/>
  <c r="G28" i="129" s="1"/>
  <c r="K43" i="12"/>
  <c r="O43" i="12" s="1"/>
  <c r="G27" i="129" s="1"/>
  <c r="I8" i="19"/>
  <c r="L8" i="19"/>
  <c r="N17" i="19"/>
  <c r="E17" i="19"/>
  <c r="K17" i="19"/>
  <c r="T34" i="7"/>
  <c r="L128" i="4" s="1"/>
  <c r="I20" i="4" s="1"/>
  <c r="M20" i="4" s="1"/>
  <c r="T9" i="7"/>
  <c r="AA34" i="7"/>
  <c r="X9" i="7"/>
  <c r="X34" i="7"/>
  <c r="R19" i="7"/>
  <c r="R8" i="7"/>
  <c r="Q13" i="7"/>
  <c r="X37" i="7"/>
  <c r="X8" i="7"/>
  <c r="AA8" i="7"/>
  <c r="S13" i="7"/>
  <c r="T13" i="7"/>
  <c r="T18" i="7"/>
  <c r="X13" i="7"/>
  <c r="S37" i="7"/>
  <c r="S8" i="7"/>
  <c r="R40" i="7"/>
  <c r="J139" i="4" s="1"/>
  <c r="T35" i="7"/>
  <c r="L129" i="4" s="1"/>
  <c r="I21" i="4" s="1"/>
  <c r="M21" i="4" s="1"/>
  <c r="AA13" i="7"/>
  <c r="AA24" i="7"/>
  <c r="R35" i="7"/>
  <c r="J129" i="4" s="1"/>
  <c r="AA17" i="7"/>
  <c r="T31" i="7"/>
  <c r="L124" i="4" s="1"/>
  <c r="I17" i="4" s="1"/>
  <c r="M17" i="4" s="1"/>
  <c r="X27" i="7"/>
  <c r="T38" i="7"/>
  <c r="L134" i="4" s="1"/>
  <c r="I24" i="4" s="1"/>
  <c r="M24" i="4" s="1"/>
  <c r="T24" i="7"/>
  <c r="L115" i="4" s="1"/>
  <c r="I10" i="4" s="1"/>
  <c r="T17" i="7"/>
  <c r="X21" i="7"/>
  <c r="X12" i="7"/>
  <c r="X33" i="7"/>
  <c r="Q27" i="7"/>
  <c r="S17" i="7"/>
  <c r="Q17" i="7"/>
  <c r="S31" i="7"/>
  <c r="S38" i="7"/>
  <c r="T39" i="7"/>
  <c r="L135" i="4" s="1"/>
  <c r="I25" i="4" s="1"/>
  <c r="M25" i="4" s="1"/>
  <c r="X17" i="7"/>
  <c r="X24" i="7"/>
  <c r="R24" i="7"/>
  <c r="S24" i="7"/>
  <c r="K115" i="4" s="1"/>
  <c r="H10" i="4" s="1"/>
  <c r="Q25" i="7"/>
  <c r="I116" i="4" s="1"/>
  <c r="T25" i="7"/>
  <c r="L116" i="4" s="1"/>
  <c r="I11" i="4" s="1"/>
  <c r="M11" i="4" s="1"/>
  <c r="R34" i="7"/>
  <c r="J128" i="4" s="1"/>
  <c r="S9" i="7"/>
  <c r="X25" i="7"/>
  <c r="T32" i="7"/>
  <c r="L126" i="4" s="1"/>
  <c r="T27" i="7"/>
  <c r="L120" i="4" s="1"/>
  <c r="I13" i="4" s="1"/>
  <c r="M13" i="4" s="1"/>
  <c r="X18" i="7"/>
  <c r="X19" i="7"/>
  <c r="AA11" i="7"/>
  <c r="Q31" i="7"/>
  <c r="S11" i="7"/>
  <c r="AA32" i="7"/>
  <c r="X38" i="7"/>
  <c r="T11" i="7"/>
  <c r="T19" i="7"/>
  <c r="AA19" i="7"/>
  <c r="S27" i="7"/>
  <c r="Q11" i="7"/>
  <c r="Q38" i="7"/>
  <c r="X11" i="7"/>
  <c r="R27" i="7"/>
  <c r="J120" i="4" s="1"/>
  <c r="S19" i="7"/>
  <c r="R38" i="7"/>
  <c r="J134" i="4" s="1"/>
  <c r="S32" i="7"/>
  <c r="R9" i="7"/>
  <c r="AA9" i="7"/>
  <c r="Q33" i="7"/>
  <c r="X31" i="7"/>
  <c r="S35" i="7"/>
  <c r="R31" i="7"/>
  <c r="J124" i="4" s="1"/>
  <c r="T42" i="7"/>
  <c r="L143" i="4" s="1"/>
  <c r="AA20" i="7"/>
  <c r="T40" i="7"/>
  <c r="L139" i="4" s="1"/>
  <c r="I26" i="4" s="1"/>
  <c r="M26" i="4" s="1"/>
  <c r="T41" i="7"/>
  <c r="L141" i="4" s="1"/>
  <c r="I27" i="4" s="1"/>
  <c r="M27" i="4" s="1"/>
  <c r="X41" i="7"/>
  <c r="X40" i="7"/>
  <c r="S41" i="7"/>
  <c r="Q41" i="7"/>
  <c r="S34" i="7"/>
  <c r="Q20" i="7"/>
  <c r="AA42" i="7"/>
  <c r="AA41" i="7"/>
  <c r="Q32" i="7"/>
  <c r="X32" i="7"/>
  <c r="Q12" i="7"/>
  <c r="R12" i="7"/>
  <c r="AA12" i="7"/>
  <c r="S12" i="7"/>
  <c r="R25" i="7"/>
  <c r="S25" i="7"/>
  <c r="T20" i="7"/>
  <c r="T10" i="7"/>
  <c r="X10" i="7"/>
  <c r="S39" i="7"/>
  <c r="S20" i="7"/>
  <c r="R39" i="7"/>
  <c r="J135" i="4" s="1"/>
  <c r="R42" i="7"/>
  <c r="Q39" i="7"/>
  <c r="I135" i="4" s="1"/>
  <c r="Q40" i="7"/>
  <c r="AA40" i="7"/>
  <c r="S42" i="7"/>
  <c r="X42" i="7"/>
  <c r="R37" i="7"/>
  <c r="Q37" i="7"/>
  <c r="AA37" i="7"/>
  <c r="R33" i="7"/>
  <c r="J127" i="4" s="1"/>
  <c r="S33" i="7"/>
  <c r="AA33" i="7"/>
  <c r="S21" i="7"/>
  <c r="R21" i="7"/>
  <c r="AA21" i="7"/>
  <c r="Q21" i="7"/>
  <c r="AA35" i="7"/>
  <c r="X35" i="7"/>
  <c r="X39" i="7"/>
  <c r="AL15" i="7"/>
  <c r="H35" i="4" s="1"/>
  <c r="G30" i="4" s="1"/>
  <c r="K30" i="4" s="1"/>
  <c r="Q36" i="7"/>
  <c r="X36" i="7"/>
  <c r="S36" i="7"/>
  <c r="R36" i="7"/>
  <c r="J130" i="4" s="1"/>
  <c r="AA36" i="7"/>
  <c r="S10" i="7"/>
  <c r="R10" i="7"/>
  <c r="Q10" i="7"/>
  <c r="S26" i="7"/>
  <c r="R26" i="7"/>
  <c r="J117" i="4" s="1"/>
  <c r="Q26" i="7"/>
  <c r="X26" i="7"/>
  <c r="AA26" i="7"/>
  <c r="S18" i="7"/>
  <c r="R18" i="7"/>
  <c r="Q18" i="7"/>
  <c r="Q16" i="7"/>
  <c r="AA16" i="7"/>
  <c r="R16" i="7"/>
  <c r="S16" i="7"/>
  <c r="U15" i="7"/>
  <c r="W15" i="7"/>
  <c r="V15" i="7"/>
  <c r="M15" i="7"/>
  <c r="X15" i="7" s="1"/>
  <c r="L71" i="4" s="1"/>
  <c r="Q28" i="7"/>
  <c r="S28" i="7"/>
  <c r="AA28" i="7"/>
  <c r="X28" i="7"/>
  <c r="R28" i="7"/>
  <c r="J121" i="4" s="1"/>
  <c r="AK15" i="7"/>
  <c r="G35" i="4" s="1"/>
  <c r="F30" i="4" s="1"/>
  <c r="J30" i="4" s="1"/>
  <c r="AM15" i="7"/>
  <c r="I35" i="4" s="1"/>
  <c r="H30" i="4" s="1"/>
  <c r="L30" i="4" s="1"/>
  <c r="X20" i="7"/>
  <c r="T8" i="7"/>
  <c r="T16" i="7"/>
  <c r="C6" i="19"/>
  <c r="O6" i="19" s="1" a="1"/>
  <c r="O6" i="19" s="1"/>
  <c r="J28" i="5" l="1"/>
  <c r="W17" i="20"/>
  <c r="W9" i="20" s="1"/>
  <c r="AX17" i="20"/>
  <c r="AZ17" i="20" s="1"/>
  <c r="AZ26" i="20"/>
  <c r="AZ11" i="20"/>
  <c r="Z7" i="7"/>
  <c r="O2" i="136"/>
  <c r="B16" i="8" s="1"/>
  <c r="P2" i="136"/>
  <c r="C65" i="3" s="1"/>
  <c r="N2" i="136"/>
  <c r="B65" i="3" s="1"/>
  <c r="D65" i="3" s="1"/>
  <c r="S2" i="136"/>
  <c r="R2" i="136"/>
  <c r="Q2" i="136"/>
  <c r="P10" i="136"/>
  <c r="C73" i="3" s="1"/>
  <c r="N10" i="136"/>
  <c r="B73" i="3" s="1"/>
  <c r="O10" i="136"/>
  <c r="B24" i="8" s="1"/>
  <c r="S10" i="136"/>
  <c r="R10" i="136"/>
  <c r="Q10" i="136"/>
  <c r="R21" i="5"/>
  <c r="G15" i="127"/>
  <c r="G10" i="127"/>
  <c r="G29" i="127"/>
  <c r="G20" i="127"/>
  <c r="G25" i="127"/>
  <c r="G16" i="127"/>
  <c r="G7" i="127"/>
  <c r="G6" i="127"/>
  <c r="G9" i="127"/>
  <c r="G35" i="127"/>
  <c r="G30" i="127"/>
  <c r="G36" i="127"/>
  <c r="G31" i="127"/>
  <c r="G26" i="127"/>
  <c r="H78" i="12"/>
  <c r="I78" i="12" s="1"/>
  <c r="E69" i="12"/>
  <c r="H69" i="12" s="1"/>
  <c r="I69" i="12" s="1"/>
  <c r="G17" i="127"/>
  <c r="G32" i="127"/>
  <c r="G12" i="127"/>
  <c r="G23" i="127"/>
  <c r="G3" i="127"/>
  <c r="G22" i="127"/>
  <c r="I62" i="12"/>
  <c r="G33" i="127"/>
  <c r="G13" i="127"/>
  <c r="G28" i="127"/>
  <c r="G4" i="127"/>
  <c r="G19" i="127"/>
  <c r="G2" i="127"/>
  <c r="G14" i="127"/>
  <c r="C23" i="109"/>
  <c r="I23" i="109" s="1"/>
  <c r="L23" i="109" s="1"/>
  <c r="C29" i="109"/>
  <c r="U35" i="20" s="1"/>
  <c r="V35" i="20" s="1"/>
  <c r="G21" i="127"/>
  <c r="G5" i="127"/>
  <c r="G24" i="127"/>
  <c r="G8" i="127"/>
  <c r="G27" i="127"/>
  <c r="G11" i="127"/>
  <c r="G34" i="127"/>
  <c r="H24" i="5"/>
  <c r="F29" i="126"/>
  <c r="F20" i="126"/>
  <c r="C36" i="109"/>
  <c r="U42" i="20" s="1"/>
  <c r="V42" i="20" s="1"/>
  <c r="C12" i="109"/>
  <c r="F5" i="126"/>
  <c r="F6" i="126"/>
  <c r="C20" i="109"/>
  <c r="I20" i="109" s="1"/>
  <c r="L20" i="109" s="1"/>
  <c r="C26" i="109"/>
  <c r="I26" i="109" s="1"/>
  <c r="L26" i="109" s="1"/>
  <c r="F19" i="126"/>
  <c r="F15" i="126"/>
  <c r="F36" i="126"/>
  <c r="F4" i="126"/>
  <c r="F33" i="126"/>
  <c r="F18" i="126"/>
  <c r="U29" i="20"/>
  <c r="V29" i="20" s="1"/>
  <c r="C6" i="109"/>
  <c r="I6" i="109" s="1"/>
  <c r="L6" i="109" s="1"/>
  <c r="F27" i="126"/>
  <c r="F23" i="126"/>
  <c r="F8" i="126"/>
  <c r="C3" i="109"/>
  <c r="C9" i="109"/>
  <c r="I9" i="109" s="1"/>
  <c r="L9" i="109" s="1"/>
  <c r="F17" i="126"/>
  <c r="F35" i="126"/>
  <c r="F24" i="126"/>
  <c r="F22" i="126"/>
  <c r="H13" i="111"/>
  <c r="K13" i="111" s="1"/>
  <c r="M10" i="4"/>
  <c r="L10" i="4"/>
  <c r="J10" i="4"/>
  <c r="H20" i="111"/>
  <c r="K20" i="111" s="1"/>
  <c r="H28" i="111"/>
  <c r="K28" i="111" s="1"/>
  <c r="H32" i="111"/>
  <c r="K32" i="111" s="1"/>
  <c r="H17" i="111"/>
  <c r="K17" i="111" s="1"/>
  <c r="H29" i="111"/>
  <c r="K29" i="111" s="1"/>
  <c r="H27" i="111"/>
  <c r="K27" i="111" s="1"/>
  <c r="H21" i="111"/>
  <c r="K21" i="111" s="1"/>
  <c r="H12" i="111"/>
  <c r="K12" i="111" s="1"/>
  <c r="H26" i="111"/>
  <c r="H7" i="111"/>
  <c r="K7" i="111" s="1"/>
  <c r="H9" i="111"/>
  <c r="K9" i="111" s="1"/>
  <c r="H35" i="111"/>
  <c r="K35" i="111" s="1"/>
  <c r="H23" i="111"/>
  <c r="K23" i="111" s="1"/>
  <c r="H34" i="111"/>
  <c r="K34" i="111" s="1"/>
  <c r="H37" i="111"/>
  <c r="K37" i="111" s="1"/>
  <c r="H8" i="111"/>
  <c r="K8" i="111" s="1"/>
  <c r="H30" i="111"/>
  <c r="K30" i="111" s="1"/>
  <c r="H16" i="111"/>
  <c r="K16" i="111" s="1"/>
  <c r="G20" i="5"/>
  <c r="G15" i="4"/>
  <c r="K15" i="4" s="1"/>
  <c r="F15" i="4"/>
  <c r="J15" i="4" s="1"/>
  <c r="G20" i="4"/>
  <c r="K20" i="4" s="1"/>
  <c r="G24" i="4"/>
  <c r="K24" i="4" s="1"/>
  <c r="G12" i="4"/>
  <c r="K12" i="4" s="1"/>
  <c r="G19" i="4"/>
  <c r="K19" i="4" s="1"/>
  <c r="F25" i="4"/>
  <c r="J25" i="4" s="1"/>
  <c r="G17" i="4"/>
  <c r="K17" i="4" s="1"/>
  <c r="F21" i="4"/>
  <c r="J21" i="4" s="1"/>
  <c r="G27" i="4"/>
  <c r="K27" i="4" s="1"/>
  <c r="G14" i="4"/>
  <c r="K14" i="4" s="1"/>
  <c r="G13" i="4"/>
  <c r="K13" i="4" s="1"/>
  <c r="F20" i="4"/>
  <c r="J20" i="4" s="1"/>
  <c r="G16" i="4"/>
  <c r="K16" i="4" s="1"/>
  <c r="G22" i="4"/>
  <c r="K22" i="4" s="1"/>
  <c r="G25" i="4"/>
  <c r="K25" i="4" s="1"/>
  <c r="F11" i="4"/>
  <c r="J11" i="4" s="1"/>
  <c r="G21" i="4"/>
  <c r="K21" i="4" s="1"/>
  <c r="G26" i="4"/>
  <c r="K26" i="4" s="1"/>
  <c r="F16" i="4"/>
  <c r="J16" i="4" s="1"/>
  <c r="R25" i="5"/>
  <c r="V25" i="5" s="1"/>
  <c r="R17" i="5"/>
  <c r="V17" i="5" s="1"/>
  <c r="G16" i="5"/>
  <c r="AE31" i="7"/>
  <c r="E10" i="126"/>
  <c r="Q21" i="5"/>
  <c r="O21" i="5"/>
  <c r="P21" i="5"/>
  <c r="F2" i="126"/>
  <c r="F11" i="126"/>
  <c r="F25" i="126"/>
  <c r="F7" i="126"/>
  <c r="F21" i="126"/>
  <c r="F32" i="126"/>
  <c r="F16" i="126"/>
  <c r="F30" i="126"/>
  <c r="F14" i="126"/>
  <c r="K33" i="126"/>
  <c r="K36" i="126"/>
  <c r="F34" i="126"/>
  <c r="F3" i="126"/>
  <c r="F9" i="126"/>
  <c r="F31" i="126"/>
  <c r="F13" i="126"/>
  <c r="F28" i="126"/>
  <c r="F12" i="126"/>
  <c r="F26" i="126"/>
  <c r="V31" i="5"/>
  <c r="V35" i="5"/>
  <c r="V39" i="5"/>
  <c r="V43" i="5"/>
  <c r="V47" i="5"/>
  <c r="V32" i="5"/>
  <c r="V36" i="5"/>
  <c r="V40" i="5"/>
  <c r="V44" i="5"/>
  <c r="V38" i="5"/>
  <c r="V46" i="5"/>
  <c r="V33" i="5"/>
  <c r="V37" i="5"/>
  <c r="V41" i="5"/>
  <c r="V45" i="5"/>
  <c r="V48" i="5"/>
  <c r="V34" i="5"/>
  <c r="V42" i="5"/>
  <c r="V30" i="5"/>
  <c r="H33" i="111"/>
  <c r="K33" i="111" s="1"/>
  <c r="H5" i="111"/>
  <c r="K5" i="111" s="1"/>
  <c r="H36" i="111"/>
  <c r="K36" i="111" s="1"/>
  <c r="H10" i="111"/>
  <c r="K10" i="111" s="1"/>
  <c r="H15" i="111"/>
  <c r="K15" i="111" s="1"/>
  <c r="H18" i="111"/>
  <c r="K18" i="111" s="1"/>
  <c r="K7" i="126"/>
  <c r="K4" i="126"/>
  <c r="G19" i="128"/>
  <c r="G21" i="128"/>
  <c r="G23" i="128"/>
  <c r="G25" i="128"/>
  <c r="G27" i="128"/>
  <c r="G29" i="128"/>
  <c r="G31" i="128"/>
  <c r="G33" i="128"/>
  <c r="G35" i="128"/>
  <c r="G5" i="128"/>
  <c r="G6" i="128"/>
  <c r="G13" i="128"/>
  <c r="G14" i="128"/>
  <c r="G22" i="128"/>
  <c r="G26" i="128"/>
  <c r="G30" i="128"/>
  <c r="G34" i="128"/>
  <c r="G2" i="128"/>
  <c r="G9" i="128"/>
  <c r="G10" i="128"/>
  <c r="G17" i="128"/>
  <c r="G20" i="128"/>
  <c r="G24" i="128"/>
  <c r="G28" i="128"/>
  <c r="G32" i="128"/>
  <c r="G36" i="128"/>
  <c r="G3" i="128"/>
  <c r="G4" i="128"/>
  <c r="G11" i="128"/>
  <c r="G12" i="128"/>
  <c r="G8" i="128"/>
  <c r="G15" i="128"/>
  <c r="G7" i="128"/>
  <c r="G16" i="128"/>
  <c r="G18" i="128"/>
  <c r="D11" i="19"/>
  <c r="H21" i="126"/>
  <c r="H25" i="126"/>
  <c r="H29" i="126"/>
  <c r="H33" i="126"/>
  <c r="H19" i="126"/>
  <c r="H23" i="126"/>
  <c r="H27" i="126"/>
  <c r="H31" i="126"/>
  <c r="H35" i="126"/>
  <c r="H3" i="126"/>
  <c r="H5" i="126"/>
  <c r="H7" i="126"/>
  <c r="H9" i="126"/>
  <c r="H11" i="126"/>
  <c r="H13" i="126"/>
  <c r="H15" i="126"/>
  <c r="H17" i="126"/>
  <c r="H6" i="126"/>
  <c r="H14" i="126"/>
  <c r="H22" i="126"/>
  <c r="H30" i="126"/>
  <c r="H2" i="126"/>
  <c r="H8" i="126"/>
  <c r="H16" i="126"/>
  <c r="H24" i="126"/>
  <c r="H32" i="126"/>
  <c r="H10" i="126"/>
  <c r="H18" i="126"/>
  <c r="H26" i="126"/>
  <c r="H34" i="126"/>
  <c r="H4" i="126"/>
  <c r="H12" i="126"/>
  <c r="H20" i="126"/>
  <c r="H28" i="126"/>
  <c r="H36" i="126"/>
  <c r="E4" i="114"/>
  <c r="G3" i="129"/>
  <c r="D10" i="19"/>
  <c r="G5" i="126"/>
  <c r="G4" i="126"/>
  <c r="G8" i="126"/>
  <c r="G12" i="126"/>
  <c r="G16" i="126"/>
  <c r="G19" i="126"/>
  <c r="G21" i="126"/>
  <c r="G23" i="126"/>
  <c r="G25" i="126"/>
  <c r="G27" i="126"/>
  <c r="G29" i="126"/>
  <c r="G31" i="126"/>
  <c r="G33" i="126"/>
  <c r="G35" i="126"/>
  <c r="G7" i="126"/>
  <c r="G11" i="126"/>
  <c r="G15" i="126"/>
  <c r="G10" i="126"/>
  <c r="G14" i="126"/>
  <c r="G18" i="126"/>
  <c r="G20" i="126"/>
  <c r="G22" i="126"/>
  <c r="G24" i="126"/>
  <c r="G26" i="126"/>
  <c r="G28" i="126"/>
  <c r="G30" i="126"/>
  <c r="G32" i="126"/>
  <c r="G34" i="126"/>
  <c r="G36" i="126"/>
  <c r="G2" i="126"/>
  <c r="G9" i="126"/>
  <c r="G13" i="126"/>
  <c r="G17" i="126"/>
  <c r="G3" i="126"/>
  <c r="G6" i="126"/>
  <c r="C28" i="109"/>
  <c r="U34" i="20" s="1"/>
  <c r="V34" i="20" s="1"/>
  <c r="C11" i="109"/>
  <c r="C31" i="109"/>
  <c r="C14" i="109"/>
  <c r="I14" i="109" s="1"/>
  <c r="L14" i="109" s="1"/>
  <c r="C34" i="109"/>
  <c r="I34" i="109" s="1"/>
  <c r="L34" i="109" s="1"/>
  <c r="C17" i="109"/>
  <c r="I17" i="109" s="1"/>
  <c r="L17" i="109" s="1"/>
  <c r="C37" i="109"/>
  <c r="U43" i="20" s="1"/>
  <c r="V43" i="20" s="1"/>
  <c r="C21" i="109"/>
  <c r="I21" i="109" s="1"/>
  <c r="L21" i="109" s="1"/>
  <c r="C4" i="109"/>
  <c r="I4" i="109" s="1"/>
  <c r="L4" i="109" s="1"/>
  <c r="C8" i="19"/>
  <c r="C24" i="109"/>
  <c r="I24" i="109" s="1"/>
  <c r="L24" i="109" s="1"/>
  <c r="C7" i="109"/>
  <c r="C27" i="109"/>
  <c r="K27" i="112" s="1"/>
  <c r="C10" i="109"/>
  <c r="C30" i="109"/>
  <c r="U36" i="20" s="1"/>
  <c r="V36" i="20" s="1"/>
  <c r="C13" i="109"/>
  <c r="I13" i="109" s="1"/>
  <c r="L13" i="109" s="1"/>
  <c r="C33" i="109"/>
  <c r="I33" i="109" s="1"/>
  <c r="L33" i="109" s="1"/>
  <c r="C16" i="109"/>
  <c r="I16" i="109" s="1"/>
  <c r="L16" i="109" s="1"/>
  <c r="AI7" i="7"/>
  <c r="AN7" i="7" s="1"/>
  <c r="C32" i="109"/>
  <c r="I32" i="109" s="1"/>
  <c r="L32" i="109" s="1"/>
  <c r="C15" i="109"/>
  <c r="C35" i="109"/>
  <c r="U41" i="20" s="1"/>
  <c r="V41" i="20" s="1"/>
  <c r="C18" i="109"/>
  <c r="C38" i="109"/>
  <c r="U44" i="20" s="1"/>
  <c r="V44" i="20" s="1"/>
  <c r="C22" i="109"/>
  <c r="U28" i="20" s="1"/>
  <c r="V28" i="20" s="1"/>
  <c r="C5" i="109"/>
  <c r="I5" i="109" s="1"/>
  <c r="L5" i="109" s="1"/>
  <c r="C25" i="109"/>
  <c r="K25" i="112" s="1"/>
  <c r="C8" i="109"/>
  <c r="I8" i="109" s="1"/>
  <c r="L8" i="109" s="1"/>
  <c r="AK8" i="7"/>
  <c r="AM8" i="7"/>
  <c r="AC42" i="7"/>
  <c r="AM22" i="7"/>
  <c r="I142" i="4"/>
  <c r="AE24" i="7"/>
  <c r="AM16" i="7"/>
  <c r="Q22" i="5" s="1"/>
  <c r="U22" i="5" s="1"/>
  <c r="AN16" i="7"/>
  <c r="R22" i="5" s="1"/>
  <c r="V22" i="5" s="1"/>
  <c r="AK16" i="7"/>
  <c r="AC31" i="7"/>
  <c r="AD31" i="7"/>
  <c r="AD32" i="7"/>
  <c r="AM9" i="7"/>
  <c r="AD30" i="7"/>
  <c r="AN9" i="7"/>
  <c r="AK9" i="7"/>
  <c r="AK22" i="7"/>
  <c r="AN22" i="7"/>
  <c r="AE30" i="7"/>
  <c r="AC30" i="7"/>
  <c r="AD25" i="7"/>
  <c r="AN20" i="7"/>
  <c r="AC25" i="7"/>
  <c r="AE12" i="7"/>
  <c r="I19" i="5" s="1"/>
  <c r="AE38" i="7"/>
  <c r="AD38" i="7"/>
  <c r="AC38" i="7"/>
  <c r="AL12" i="7"/>
  <c r="AM12" i="7"/>
  <c r="AK18" i="7"/>
  <c r="AK20" i="7"/>
  <c r="AD10" i="7"/>
  <c r="H16" i="5" s="1"/>
  <c r="AC27" i="7"/>
  <c r="AD27" i="7"/>
  <c r="AF25" i="7"/>
  <c r="J125" i="4"/>
  <c r="AN8" i="7"/>
  <c r="AL21" i="7"/>
  <c r="AM21" i="7"/>
  <c r="AN21" i="7"/>
  <c r="AL14" i="7"/>
  <c r="AE27" i="7"/>
  <c r="AF29" i="7"/>
  <c r="AD39" i="7"/>
  <c r="J138" i="4" s="1"/>
  <c r="AF10" i="7"/>
  <c r="J16" i="5" s="1"/>
  <c r="AF18" i="7"/>
  <c r="J24" i="5" s="1"/>
  <c r="L133" i="4"/>
  <c r="AE10" i="7"/>
  <c r="I17" i="5" s="1"/>
  <c r="AD29" i="7"/>
  <c r="AN18" i="7"/>
  <c r="AC29" i="7"/>
  <c r="AC22" i="7"/>
  <c r="G28" i="5" s="1"/>
  <c r="AM10" i="7"/>
  <c r="AE18" i="7"/>
  <c r="I25" i="5" s="1"/>
  <c r="AL18" i="7"/>
  <c r="AE39" i="7"/>
  <c r="K138" i="4" s="1"/>
  <c r="AE8" i="7"/>
  <c r="I15" i="5" s="1"/>
  <c r="AD14" i="7"/>
  <c r="H20" i="5" s="1"/>
  <c r="AC18" i="7"/>
  <c r="G24" i="5" s="1"/>
  <c r="AL10" i="7"/>
  <c r="AF14" i="7"/>
  <c r="J20" i="5" s="1"/>
  <c r="I29" i="109"/>
  <c r="L29" i="109" s="1"/>
  <c r="I36" i="109"/>
  <c r="L36" i="109" s="1"/>
  <c r="AN13" i="7"/>
  <c r="AM13" i="7"/>
  <c r="AL13" i="7"/>
  <c r="AD13" i="7"/>
  <c r="H19" i="5" s="1"/>
  <c r="AN10" i="7"/>
  <c r="AD17" i="7"/>
  <c r="H23" i="5" s="1"/>
  <c r="AE34" i="7"/>
  <c r="AE22" i="7"/>
  <c r="AD22" i="7"/>
  <c r="H28" i="5" s="1"/>
  <c r="AF9" i="7"/>
  <c r="J15" i="5" s="1"/>
  <c r="AL20" i="7"/>
  <c r="AN12" i="7"/>
  <c r="AC21" i="7"/>
  <c r="G27" i="5" s="1"/>
  <c r="AC39" i="7"/>
  <c r="I138" i="4" s="1"/>
  <c r="AN17" i="7"/>
  <c r="AL17" i="7"/>
  <c r="AM14" i="7"/>
  <c r="AN14" i="7"/>
  <c r="AM17" i="7"/>
  <c r="AL11" i="7"/>
  <c r="AE14" i="7"/>
  <c r="AK11" i="7"/>
  <c r="AM11" i="7"/>
  <c r="AM19" i="7"/>
  <c r="AL19" i="7"/>
  <c r="AK19" i="7"/>
  <c r="B11" i="109"/>
  <c r="H8" i="109"/>
  <c r="H5" i="109"/>
  <c r="T14" i="5"/>
  <c r="J133" i="4"/>
  <c r="J132" i="4"/>
  <c r="I117" i="4"/>
  <c r="I139" i="4"/>
  <c r="I141" i="4"/>
  <c r="J116" i="4"/>
  <c r="I127" i="4"/>
  <c r="I120" i="4"/>
  <c r="S16" i="5"/>
  <c r="P22" i="5"/>
  <c r="T22" i="5" s="1"/>
  <c r="I121" i="4"/>
  <c r="I130" i="4"/>
  <c r="I124" i="4"/>
  <c r="S18" i="5"/>
  <c r="S19" i="5"/>
  <c r="I133" i="4"/>
  <c r="I132" i="4"/>
  <c r="J142" i="4"/>
  <c r="J143" i="4"/>
  <c r="I126" i="4"/>
  <c r="I125" i="4"/>
  <c r="S23" i="5"/>
  <c r="I134" i="4"/>
  <c r="J115" i="4"/>
  <c r="S20" i="5"/>
  <c r="S27" i="5"/>
  <c r="H38" i="109"/>
  <c r="H35" i="109"/>
  <c r="L42" i="12"/>
  <c r="P42" i="12"/>
  <c r="P29" i="12"/>
  <c r="L29" i="12"/>
  <c r="L45" i="12"/>
  <c r="P45" i="12"/>
  <c r="L20" i="12"/>
  <c r="P20" i="12"/>
  <c r="P41" i="12"/>
  <c r="L41" i="12"/>
  <c r="L31" i="12"/>
  <c r="P31" i="12"/>
  <c r="H12" i="109"/>
  <c r="P43" i="12"/>
  <c r="L43" i="12"/>
  <c r="L30" i="12"/>
  <c r="P30" i="12"/>
  <c r="P50" i="12"/>
  <c r="L50" i="12"/>
  <c r="L38" i="12"/>
  <c r="P38" i="12"/>
  <c r="L21" i="12"/>
  <c r="P21" i="12"/>
  <c r="L46" i="12"/>
  <c r="P46" i="12"/>
  <c r="L28" i="12"/>
  <c r="P28" i="12"/>
  <c r="L40" i="12"/>
  <c r="P40" i="12"/>
  <c r="P27" i="12"/>
  <c r="L27" i="12"/>
  <c r="P51" i="12"/>
  <c r="L51" i="12"/>
  <c r="L39" i="12"/>
  <c r="P39" i="12"/>
  <c r="P18" i="12"/>
  <c r="L18" i="12"/>
  <c r="L47" i="12"/>
  <c r="P47" i="12"/>
  <c r="H25" i="12"/>
  <c r="H17" i="12" s="1"/>
  <c r="P17" i="12" s="1"/>
  <c r="P34" i="12"/>
  <c r="L34" i="12"/>
  <c r="P32" i="12"/>
  <c r="L32" i="12"/>
  <c r="L37" i="12"/>
  <c r="P37" i="12"/>
  <c r="P24" i="12"/>
  <c r="L24" i="12"/>
  <c r="L48" i="12"/>
  <c r="P48" i="12"/>
  <c r="P36" i="12"/>
  <c r="L36" i="12"/>
  <c r="L23" i="12"/>
  <c r="P23" i="12"/>
  <c r="P44" i="12"/>
  <c r="L44" i="12"/>
  <c r="P35" i="12"/>
  <c r="L35" i="12"/>
  <c r="O34" i="12"/>
  <c r="G18" i="129" s="1"/>
  <c r="K25" i="12"/>
  <c r="K17" i="12" s="1"/>
  <c r="O7" i="19" a="1"/>
  <c r="O7" i="19" s="1"/>
  <c r="C8" i="13" a="1"/>
  <c r="C8" i="13" s="1"/>
  <c r="F9" i="19" s="1"/>
  <c r="AE11" i="20" s="1"/>
  <c r="AR11" i="20" s="1"/>
  <c r="C7" i="13"/>
  <c r="I30" i="109"/>
  <c r="L30" i="109" s="1"/>
  <c r="K33" i="112"/>
  <c r="K29" i="112"/>
  <c r="K34" i="112"/>
  <c r="K22" i="112"/>
  <c r="K26" i="112"/>
  <c r="K6" i="112"/>
  <c r="H11" i="111"/>
  <c r="I37" i="109"/>
  <c r="L37" i="109" s="1"/>
  <c r="AF10" i="20"/>
  <c r="AS10" i="20" s="1"/>
  <c r="AG10" i="20"/>
  <c r="AT10" i="20" s="1"/>
  <c r="D11" i="109"/>
  <c r="AE27" i="20"/>
  <c r="G11" i="114"/>
  <c r="E29" i="114"/>
  <c r="E34" i="114"/>
  <c r="E21" i="114"/>
  <c r="E27" i="114"/>
  <c r="E25" i="114"/>
  <c r="E7" i="114"/>
  <c r="E30" i="114"/>
  <c r="E37" i="114"/>
  <c r="E35" i="114"/>
  <c r="E15" i="114"/>
  <c r="E33" i="114"/>
  <c r="E32" i="114"/>
  <c r="E36" i="114"/>
  <c r="E22" i="114"/>
  <c r="E26" i="114"/>
  <c r="E12" i="114"/>
  <c r="E28" i="114"/>
  <c r="E23" i="114"/>
  <c r="E38" i="114"/>
  <c r="E31" i="114"/>
  <c r="F4" i="112"/>
  <c r="F15" i="112"/>
  <c r="F31" i="112"/>
  <c r="F30" i="112"/>
  <c r="F33" i="112"/>
  <c r="F21" i="112"/>
  <c r="F36" i="112"/>
  <c r="F12" i="112"/>
  <c r="F24" i="112"/>
  <c r="F20" i="112"/>
  <c r="F38" i="112"/>
  <c r="F37" i="112"/>
  <c r="F7" i="112"/>
  <c r="F25" i="112"/>
  <c r="F26" i="112"/>
  <c r="F28" i="112"/>
  <c r="F27" i="112"/>
  <c r="F23" i="112"/>
  <c r="F22" i="112"/>
  <c r="F29" i="112"/>
  <c r="F34" i="112"/>
  <c r="F32" i="112"/>
  <c r="F35" i="112"/>
  <c r="H6" i="111"/>
  <c r="H11" i="112"/>
  <c r="C3" i="114"/>
  <c r="G3" i="114" s="1"/>
  <c r="E8" i="13" a="1"/>
  <c r="E8" i="13" s="1"/>
  <c r="L9" i="19" s="1"/>
  <c r="E7" i="13"/>
  <c r="D3" i="109"/>
  <c r="B8" i="13" a="1"/>
  <c r="B8" i="13" s="1"/>
  <c r="C9" i="19" s="1"/>
  <c r="AD11" i="20" s="1"/>
  <c r="AQ11" i="20" s="1"/>
  <c r="D3" i="112"/>
  <c r="H3" i="112" s="1"/>
  <c r="D8" i="13" a="1"/>
  <c r="D8" i="13" s="1"/>
  <c r="I9" i="19" s="1"/>
  <c r="AF11" i="20" s="1"/>
  <c r="AS11" i="20" s="1"/>
  <c r="D7" i="13"/>
  <c r="J11" i="19"/>
  <c r="AC24" i="7"/>
  <c r="AC8" i="7"/>
  <c r="G14" i="5" s="1"/>
  <c r="T28" i="5"/>
  <c r="K141" i="4"/>
  <c r="H27" i="4" s="1"/>
  <c r="L27" i="4" s="1"/>
  <c r="K120" i="4"/>
  <c r="H13" i="4" s="1"/>
  <c r="L13" i="4" s="1"/>
  <c r="K134" i="4"/>
  <c r="H24" i="4" s="1"/>
  <c r="L24" i="4" s="1"/>
  <c r="K128" i="4"/>
  <c r="H20" i="4" s="1"/>
  <c r="L20" i="4" s="1"/>
  <c r="K121" i="4"/>
  <c r="H14" i="4" s="1"/>
  <c r="L14" i="4" s="1"/>
  <c r="K130" i="4"/>
  <c r="H22" i="4" s="1"/>
  <c r="L22" i="4" s="1"/>
  <c r="U26" i="5"/>
  <c r="K127" i="4"/>
  <c r="H19" i="4" s="1"/>
  <c r="L19" i="4" s="1"/>
  <c r="K142" i="4"/>
  <c r="H28" i="4" s="1"/>
  <c r="L28" i="4" s="1"/>
  <c r="K143" i="4"/>
  <c r="K129" i="4"/>
  <c r="H21" i="4" s="1"/>
  <c r="L21" i="4" s="1"/>
  <c r="K124" i="4"/>
  <c r="H17" i="4" s="1"/>
  <c r="L17" i="4" s="1"/>
  <c r="K133" i="4"/>
  <c r="K132" i="4"/>
  <c r="K117" i="4"/>
  <c r="H12" i="4" s="1"/>
  <c r="L12" i="4" s="1"/>
  <c r="U24" i="5"/>
  <c r="T15" i="5"/>
  <c r="K135" i="4"/>
  <c r="H25" i="4" s="1"/>
  <c r="L25" i="4" s="1"/>
  <c r="K116" i="4"/>
  <c r="H11" i="4" s="1"/>
  <c r="L11" i="4" s="1"/>
  <c r="K126" i="4"/>
  <c r="K125" i="4"/>
  <c r="H18" i="4" s="1"/>
  <c r="L18" i="4" s="1"/>
  <c r="H22" i="111"/>
  <c r="H38" i="111"/>
  <c r="AD34" i="7"/>
  <c r="H4" i="111"/>
  <c r="H24" i="111"/>
  <c r="H25" i="111"/>
  <c r="H14" i="111"/>
  <c r="H3" i="111"/>
  <c r="K3" i="111" s="1"/>
  <c r="H31" i="111"/>
  <c r="AE17" i="7"/>
  <c r="I24" i="5" s="1"/>
  <c r="AF19" i="7"/>
  <c r="J25" i="5" s="1"/>
  <c r="AF8" i="7"/>
  <c r="J14" i="5" s="1"/>
  <c r="AF17" i="7"/>
  <c r="J23" i="5" s="1"/>
  <c r="AC17" i="7"/>
  <c r="G23" i="5" s="1"/>
  <c r="AF13" i="7"/>
  <c r="J19" i="5" s="1"/>
  <c r="AF34" i="7"/>
  <c r="AC13" i="7"/>
  <c r="G19" i="5" s="1"/>
  <c r="AD8" i="7"/>
  <c r="H14" i="5" s="1"/>
  <c r="AC9" i="7"/>
  <c r="G15" i="5" s="1"/>
  <c r="AE13" i="7"/>
  <c r="I20" i="5" s="1"/>
  <c r="AD9" i="7"/>
  <c r="H15" i="5" s="1"/>
  <c r="AC34" i="7"/>
  <c r="L142" i="4"/>
  <c r="I28" i="4" s="1"/>
  <c r="M28" i="4" s="1"/>
  <c r="AC12" i="7"/>
  <c r="G18" i="5" s="1"/>
  <c r="L125" i="4"/>
  <c r="I18" i="4" s="1"/>
  <c r="M18" i="4" s="1"/>
  <c r="AD11" i="7"/>
  <c r="H17" i="5" s="1"/>
  <c r="AD24" i="7"/>
  <c r="AF24" i="7"/>
  <c r="T15" i="7"/>
  <c r="AE9" i="7"/>
  <c r="I16" i="5" s="1"/>
  <c r="AD19" i="7"/>
  <c r="H25" i="5" s="1"/>
  <c r="AF12" i="7"/>
  <c r="J18" i="5" s="1"/>
  <c r="AE11" i="7"/>
  <c r="I18" i="5" s="1"/>
  <c r="AF11" i="7"/>
  <c r="J17" i="5" s="1"/>
  <c r="AC11" i="7"/>
  <c r="G17" i="5" s="1"/>
  <c r="AE19" i="7"/>
  <c r="I26" i="5" s="1"/>
  <c r="AC19" i="7"/>
  <c r="G25" i="5" s="1"/>
  <c r="AE42" i="7"/>
  <c r="AF42" i="7"/>
  <c r="AD42" i="7"/>
  <c r="AF32" i="7"/>
  <c r="AC32" i="7"/>
  <c r="AE32" i="7"/>
  <c r="AD21" i="7"/>
  <c r="H27" i="5" s="1"/>
  <c r="AF21" i="7"/>
  <c r="J27" i="5" s="1"/>
  <c r="AD12" i="7"/>
  <c r="H18" i="5" s="1"/>
  <c r="AD41" i="7"/>
  <c r="AF41" i="7"/>
  <c r="AE41" i="7"/>
  <c r="AC41" i="7"/>
  <c r="AF16" i="7"/>
  <c r="J22" i="5" s="1"/>
  <c r="AE21" i="7"/>
  <c r="I28" i="5" s="1"/>
  <c r="AD16" i="7"/>
  <c r="H22" i="5" s="1"/>
  <c r="AC16" i="7"/>
  <c r="G22" i="5" s="1"/>
  <c r="AE16" i="7"/>
  <c r="I23" i="5" s="1"/>
  <c r="AD40" i="7"/>
  <c r="AC40" i="7"/>
  <c r="AF40" i="7"/>
  <c r="AE40" i="7"/>
  <c r="AD33" i="7"/>
  <c r="AC33" i="7"/>
  <c r="AE33" i="7"/>
  <c r="AF33" i="7"/>
  <c r="AC35" i="7"/>
  <c r="AD35" i="7"/>
  <c r="AE35" i="7"/>
  <c r="AF35" i="7"/>
  <c r="AE37" i="7"/>
  <c r="AD37" i="7"/>
  <c r="J131" i="4" s="1"/>
  <c r="AF37" i="7"/>
  <c r="L131" i="4" s="1"/>
  <c r="I23" i="4" s="1"/>
  <c r="M23" i="4" s="1"/>
  <c r="AC37" i="7"/>
  <c r="I131" i="4" s="1"/>
  <c r="R15" i="7"/>
  <c r="H34" i="4" s="1"/>
  <c r="Q15" i="7"/>
  <c r="G34" i="4" s="1"/>
  <c r="S15" i="7"/>
  <c r="AD28" i="7"/>
  <c r="AF28" i="7"/>
  <c r="AC28" i="7"/>
  <c r="AE28" i="7"/>
  <c r="AA15" i="7"/>
  <c r="AD15" i="7" s="1"/>
  <c r="J78" i="4" s="1"/>
  <c r="V7" i="7"/>
  <c r="W7" i="7"/>
  <c r="U7" i="7"/>
  <c r="AC26" i="7"/>
  <c r="AE26" i="7"/>
  <c r="AF26" i="7"/>
  <c r="AD26" i="7"/>
  <c r="AE36" i="7"/>
  <c r="AC36" i="7"/>
  <c r="AD36" i="7"/>
  <c r="AF36" i="7"/>
  <c r="AE20" i="7"/>
  <c r="I27" i="5" s="1"/>
  <c r="L69" i="4"/>
  <c r="AD20" i="7"/>
  <c r="H26" i="5" s="1"/>
  <c r="L68" i="4"/>
  <c r="X7" i="7"/>
  <c r="AC20" i="7"/>
  <c r="G26" i="5" s="1"/>
  <c r="AF20" i="7"/>
  <c r="J26" i="5" s="1"/>
  <c r="E61" i="12" l="1"/>
  <c r="E33" i="9"/>
  <c r="E25" i="9"/>
  <c r="D33" i="9"/>
  <c r="D73" i="3"/>
  <c r="D25" i="9"/>
  <c r="AX9" i="20"/>
  <c r="AZ9" i="20" s="1"/>
  <c r="B8" i="3" a="1"/>
  <c r="B8" i="3" s="1"/>
  <c r="I27" i="109"/>
  <c r="L27" i="109" s="1"/>
  <c r="H61" i="12"/>
  <c r="I61" i="12" s="1"/>
  <c r="O26" i="111"/>
  <c r="I28" i="109"/>
  <c r="L28" i="109" s="1"/>
  <c r="U12" i="20"/>
  <c r="V12" i="20" s="1"/>
  <c r="I22" i="109"/>
  <c r="L22" i="109" s="1"/>
  <c r="U27" i="20"/>
  <c r="V27" i="20" s="1"/>
  <c r="U33" i="20"/>
  <c r="V33" i="20" s="1"/>
  <c r="U32" i="20"/>
  <c r="V32" i="20" s="1"/>
  <c r="U19" i="20"/>
  <c r="V19" i="20" s="1"/>
  <c r="U15" i="20"/>
  <c r="V15" i="20" s="1"/>
  <c r="U40" i="20"/>
  <c r="V40" i="20" s="1"/>
  <c r="U22" i="20"/>
  <c r="V22" i="20" s="1"/>
  <c r="U26" i="20"/>
  <c r="V26" i="20" s="1"/>
  <c r="I7" i="109"/>
  <c r="L7" i="109" s="1"/>
  <c r="U13" i="20"/>
  <c r="V13" i="20" s="1"/>
  <c r="U14" i="20"/>
  <c r="V14" i="20" s="1"/>
  <c r="U23" i="20"/>
  <c r="V23" i="20" s="1"/>
  <c r="U20" i="20"/>
  <c r="V20" i="20" s="1"/>
  <c r="U30" i="20"/>
  <c r="V30" i="20" s="1"/>
  <c r="I10" i="109"/>
  <c r="L10" i="109" s="1"/>
  <c r="U16" i="20"/>
  <c r="V16" i="20" s="1"/>
  <c r="U11" i="20"/>
  <c r="V11" i="20" s="1"/>
  <c r="I15" i="109"/>
  <c r="L15" i="109" s="1"/>
  <c r="U21" i="20"/>
  <c r="V21" i="20" s="1"/>
  <c r="I18" i="109"/>
  <c r="L18" i="109" s="1"/>
  <c r="U24" i="20"/>
  <c r="V24" i="20" s="1"/>
  <c r="I31" i="109"/>
  <c r="L31" i="109" s="1"/>
  <c r="U37" i="20"/>
  <c r="V37" i="20" s="1"/>
  <c r="U31" i="20"/>
  <c r="V31" i="20" s="1"/>
  <c r="U38" i="20"/>
  <c r="V38" i="20" s="1"/>
  <c r="U10" i="20"/>
  <c r="V10" i="20" s="1"/>
  <c r="I12" i="109"/>
  <c r="L12" i="109" s="1"/>
  <c r="U18" i="20"/>
  <c r="V18" i="20" s="1"/>
  <c r="U39" i="20"/>
  <c r="V39" i="20" s="1"/>
  <c r="I9" i="4"/>
  <c r="K26" i="111"/>
  <c r="O23" i="111"/>
  <c r="K18" i="112"/>
  <c r="I25" i="109"/>
  <c r="L25" i="109" s="1"/>
  <c r="G23" i="4"/>
  <c r="K23" i="4" s="1"/>
  <c r="F18" i="4"/>
  <c r="J18" i="4" s="1"/>
  <c r="F17" i="4"/>
  <c r="J17" i="4" s="1"/>
  <c r="G18" i="4"/>
  <c r="K18" i="4" s="1"/>
  <c r="F28" i="4"/>
  <c r="J28" i="4" s="1"/>
  <c r="F27" i="4"/>
  <c r="J27" i="4" s="1"/>
  <c r="G10" i="4"/>
  <c r="F22" i="4"/>
  <c r="J22" i="4" s="1"/>
  <c r="F13" i="4"/>
  <c r="J13" i="4" s="1"/>
  <c r="F26" i="4"/>
  <c r="J26" i="4" s="1"/>
  <c r="F23" i="4"/>
  <c r="J23" i="4" s="1"/>
  <c r="F24" i="4"/>
  <c r="J24" i="4" s="1"/>
  <c r="F14" i="4"/>
  <c r="J14" i="4" s="1"/>
  <c r="F19" i="4"/>
  <c r="J19" i="4" s="1"/>
  <c r="F12" i="4"/>
  <c r="J12" i="4" s="1"/>
  <c r="G28" i="4"/>
  <c r="K28" i="4" s="1"/>
  <c r="G11" i="4"/>
  <c r="K11" i="4" s="1"/>
  <c r="P25" i="5"/>
  <c r="T25" i="5" s="1"/>
  <c r="Q20" i="5"/>
  <c r="U20" i="5" s="1"/>
  <c r="R16" i="5"/>
  <c r="V16" i="5" s="1"/>
  <c r="R19" i="5"/>
  <c r="V19" i="5" s="1"/>
  <c r="R24" i="5"/>
  <c r="V24" i="5" s="1"/>
  <c r="P27" i="5"/>
  <c r="T27" i="5" s="1"/>
  <c r="O24" i="5"/>
  <c r="S24" i="5" s="1"/>
  <c r="R15" i="5"/>
  <c r="V15" i="5" s="1"/>
  <c r="Q25" i="5"/>
  <c r="U25" i="5" s="1"/>
  <c r="P17" i="5"/>
  <c r="T17" i="5" s="1"/>
  <c r="P23" i="5"/>
  <c r="T23" i="5" s="1"/>
  <c r="R18" i="5"/>
  <c r="V18" i="5" s="1"/>
  <c r="Q16" i="5"/>
  <c r="U16" i="5" s="1"/>
  <c r="P20" i="5"/>
  <c r="T20" i="5" s="1"/>
  <c r="R14" i="5"/>
  <c r="V14" i="5" s="1"/>
  <c r="R26" i="5"/>
  <c r="V26" i="5" s="1"/>
  <c r="R28" i="5"/>
  <c r="V28" i="5" s="1"/>
  <c r="Q14" i="5"/>
  <c r="U14" i="5" s="1"/>
  <c r="Q17" i="5"/>
  <c r="U17" i="5" s="1"/>
  <c r="Q23" i="5"/>
  <c r="U23" i="5" s="1"/>
  <c r="R23" i="5"/>
  <c r="V23" i="5" s="1"/>
  <c r="P26" i="5"/>
  <c r="T26" i="5" s="1"/>
  <c r="P19" i="5"/>
  <c r="T19" i="5" s="1"/>
  <c r="P16" i="5"/>
  <c r="T16" i="5" s="1"/>
  <c r="R27" i="5"/>
  <c r="V27" i="5" s="1"/>
  <c r="Q18" i="5"/>
  <c r="U18" i="5" s="1"/>
  <c r="O28" i="5"/>
  <c r="S28" i="5" s="1"/>
  <c r="Q15" i="5"/>
  <c r="U15" i="5" s="1"/>
  <c r="O22" i="5"/>
  <c r="S22" i="5" s="1"/>
  <c r="O14" i="5"/>
  <c r="S14" i="5" s="1"/>
  <c r="O25" i="5"/>
  <c r="S25" i="5" s="1"/>
  <c r="O17" i="5"/>
  <c r="S17" i="5" s="1"/>
  <c r="R20" i="5"/>
  <c r="V20" i="5" s="1"/>
  <c r="Q19" i="5"/>
  <c r="U19" i="5" s="1"/>
  <c r="P24" i="5"/>
  <c r="T24" i="5" s="1"/>
  <c r="Q27" i="5"/>
  <c r="U27" i="5" s="1"/>
  <c r="O26" i="5"/>
  <c r="S26" i="5" s="1"/>
  <c r="P18" i="5"/>
  <c r="T18" i="5" s="1"/>
  <c r="O15" i="5"/>
  <c r="S15" i="5" s="1"/>
  <c r="Q28" i="5"/>
  <c r="U28" i="5" s="1"/>
  <c r="AK7" i="7"/>
  <c r="AL7" i="7"/>
  <c r="AM7" i="7"/>
  <c r="K24" i="126"/>
  <c r="K19" i="126"/>
  <c r="K18" i="126"/>
  <c r="K34" i="126"/>
  <c r="K27" i="126"/>
  <c r="S30" i="5"/>
  <c r="S34" i="5"/>
  <c r="S38" i="5"/>
  <c r="S42" i="5"/>
  <c r="S46" i="5"/>
  <c r="S35" i="5"/>
  <c r="S39" i="5"/>
  <c r="S43" i="5"/>
  <c r="S47" i="5"/>
  <c r="S33" i="5"/>
  <c r="S37" i="5"/>
  <c r="S41" i="5"/>
  <c r="S31" i="5"/>
  <c r="S45" i="5"/>
  <c r="S32" i="5"/>
  <c r="S36" i="5"/>
  <c r="S40" i="5"/>
  <c r="S44" i="5"/>
  <c r="S48" i="5"/>
  <c r="K70" i="4"/>
  <c r="I34" i="4"/>
  <c r="K31" i="126"/>
  <c r="K23" i="126"/>
  <c r="K16" i="126"/>
  <c r="K5" i="126"/>
  <c r="L95" i="4"/>
  <c r="J34" i="4"/>
  <c r="T32" i="5"/>
  <c r="T41" i="5"/>
  <c r="T46" i="5"/>
  <c r="T34" i="5"/>
  <c r="T39" i="5"/>
  <c r="T48" i="5"/>
  <c r="T36" i="5"/>
  <c r="T45" i="5"/>
  <c r="T33" i="5"/>
  <c r="T38" i="5"/>
  <c r="T43" i="5"/>
  <c r="T31" i="5"/>
  <c r="T40" i="5"/>
  <c r="T30" i="5"/>
  <c r="T37" i="5"/>
  <c r="T42" i="5"/>
  <c r="T47" i="5"/>
  <c r="T35" i="5"/>
  <c r="T44" i="5"/>
  <c r="K28" i="126"/>
  <c r="K20" i="126"/>
  <c r="K9" i="126"/>
  <c r="U32" i="5"/>
  <c r="U48" i="5"/>
  <c r="U30" i="5"/>
  <c r="U41" i="5"/>
  <c r="U33" i="5"/>
  <c r="U42" i="5"/>
  <c r="U34" i="5"/>
  <c r="U47" i="5"/>
  <c r="U39" i="5"/>
  <c r="U31" i="5"/>
  <c r="U40" i="5"/>
  <c r="U45" i="5"/>
  <c r="U37" i="5"/>
  <c r="U46" i="5"/>
  <c r="U38" i="5"/>
  <c r="U43" i="5"/>
  <c r="U35" i="5"/>
  <c r="U44" i="5"/>
  <c r="U36" i="5"/>
  <c r="E2" i="126"/>
  <c r="B7" i="3" a="1"/>
  <c r="B7" i="3" s="1"/>
  <c r="K29" i="126"/>
  <c r="K26" i="126"/>
  <c r="K30" i="126"/>
  <c r="K12" i="126"/>
  <c r="K22" i="126"/>
  <c r="K15" i="126"/>
  <c r="K14" i="126"/>
  <c r="K8" i="126"/>
  <c r="K32" i="126"/>
  <c r="K21" i="126"/>
  <c r="K3" i="126"/>
  <c r="K35" i="126"/>
  <c r="K13" i="126"/>
  <c r="K6" i="126"/>
  <c r="K25" i="126"/>
  <c r="K17" i="126"/>
  <c r="I38" i="109"/>
  <c r="L38" i="109" s="1"/>
  <c r="K32" i="112"/>
  <c r="O5" i="111"/>
  <c r="K13" i="112"/>
  <c r="O13" i="111"/>
  <c r="O8" i="111"/>
  <c r="O16" i="111"/>
  <c r="I35" i="109"/>
  <c r="L35" i="109" s="1"/>
  <c r="K5" i="112"/>
  <c r="K7" i="112"/>
  <c r="O17" i="111"/>
  <c r="O20" i="111"/>
  <c r="B30" i="10"/>
  <c r="D30" i="10" s="1"/>
  <c r="G8" i="112" s="1"/>
  <c r="F30" i="10"/>
  <c r="H30" i="10"/>
  <c r="B52" i="10"/>
  <c r="D52" i="10" s="1"/>
  <c r="G30" i="112" s="1"/>
  <c r="F52" i="10"/>
  <c r="H52" i="10"/>
  <c r="B59" i="10"/>
  <c r="D59" i="10" s="1"/>
  <c r="G37" i="112" s="1"/>
  <c r="F59" i="10"/>
  <c r="H59" i="10"/>
  <c r="B26" i="10"/>
  <c r="D26" i="10" s="1"/>
  <c r="G4" i="112" s="1"/>
  <c r="F26" i="10"/>
  <c r="H26" i="10"/>
  <c r="B32" i="10"/>
  <c r="D32" i="10" s="1"/>
  <c r="G10" i="112" s="1"/>
  <c r="F32" i="10"/>
  <c r="H32" i="10"/>
  <c r="B58" i="10"/>
  <c r="D58" i="10" s="1"/>
  <c r="G36" i="112" s="1"/>
  <c r="F58" i="10"/>
  <c r="H58" i="10"/>
  <c r="B60" i="10"/>
  <c r="D60" i="10" s="1"/>
  <c r="G38" i="112" s="1"/>
  <c r="F60" i="10"/>
  <c r="H60" i="10"/>
  <c r="B36" i="10"/>
  <c r="D36" i="10" s="1"/>
  <c r="G14" i="112" s="1"/>
  <c r="F36" i="10"/>
  <c r="H36" i="10"/>
  <c r="K4" i="112"/>
  <c r="K30" i="112"/>
  <c r="B45" i="10"/>
  <c r="D45" i="10" s="1"/>
  <c r="G23" i="112" s="1"/>
  <c r="F45" i="10"/>
  <c r="H45" i="10"/>
  <c r="B43" i="10"/>
  <c r="D43" i="10" s="1"/>
  <c r="G21" i="112" s="1"/>
  <c r="F43" i="10"/>
  <c r="H43" i="10"/>
  <c r="B57" i="10"/>
  <c r="D57" i="10" s="1"/>
  <c r="G35" i="112" s="1"/>
  <c r="F57" i="10"/>
  <c r="H57" i="10"/>
  <c r="B38" i="10"/>
  <c r="D38" i="10" s="1"/>
  <c r="G16" i="112" s="1"/>
  <c r="F38" i="10"/>
  <c r="H38" i="10"/>
  <c r="B34" i="10"/>
  <c r="D34" i="10" s="1"/>
  <c r="G12" i="112" s="1"/>
  <c r="F34" i="10"/>
  <c r="H34" i="10"/>
  <c r="B42" i="10"/>
  <c r="D42" i="10" s="1"/>
  <c r="G20" i="112" s="1"/>
  <c r="F42" i="10"/>
  <c r="H42" i="10"/>
  <c r="B47" i="10"/>
  <c r="D47" i="10" s="1"/>
  <c r="G25" i="112" s="1"/>
  <c r="F47" i="10"/>
  <c r="H47" i="10"/>
  <c r="B53" i="10"/>
  <c r="D53" i="10" s="1"/>
  <c r="G31" i="112" s="1"/>
  <c r="F53" i="10"/>
  <c r="H53" i="10"/>
  <c r="K21" i="112"/>
  <c r="K14" i="112"/>
  <c r="K31" i="112"/>
  <c r="K12" i="112"/>
  <c r="B28" i="10"/>
  <c r="D28" i="10" s="1"/>
  <c r="G6" i="112" s="1"/>
  <c r="F28" i="10"/>
  <c r="H28" i="10"/>
  <c r="B49" i="10"/>
  <c r="D49" i="10" s="1"/>
  <c r="G27" i="112" s="1"/>
  <c r="F49" i="10"/>
  <c r="H49" i="10"/>
  <c r="B56" i="10"/>
  <c r="D56" i="10" s="1"/>
  <c r="G34" i="112" s="1"/>
  <c r="F56" i="10"/>
  <c r="H56" i="10"/>
  <c r="B39" i="10"/>
  <c r="D39" i="10" s="1"/>
  <c r="G17" i="112" s="1"/>
  <c r="F39" i="10"/>
  <c r="H39" i="10"/>
  <c r="B35" i="10"/>
  <c r="D35" i="10" s="1"/>
  <c r="G13" i="112" s="1"/>
  <c r="F35" i="10"/>
  <c r="H35" i="10"/>
  <c r="B50" i="10"/>
  <c r="D50" i="10" s="1"/>
  <c r="G28" i="112" s="1"/>
  <c r="F50" i="10"/>
  <c r="H50" i="10"/>
  <c r="B31" i="10"/>
  <c r="D31" i="10" s="1"/>
  <c r="G9" i="112" s="1"/>
  <c r="F31" i="10"/>
  <c r="H31" i="10"/>
  <c r="B46" i="10"/>
  <c r="D46" i="10" s="1"/>
  <c r="G24" i="112" s="1"/>
  <c r="F46" i="10"/>
  <c r="H46" i="10"/>
  <c r="K36" i="112"/>
  <c r="K37" i="112"/>
  <c r="K28" i="112"/>
  <c r="K35" i="112"/>
  <c r="K23" i="112"/>
  <c r="B37" i="10"/>
  <c r="D37" i="10" s="1"/>
  <c r="G15" i="112" s="1"/>
  <c r="F37" i="10"/>
  <c r="H37" i="10"/>
  <c r="B48" i="10"/>
  <c r="D48" i="10" s="1"/>
  <c r="G26" i="112" s="1"/>
  <c r="F48" i="10"/>
  <c r="H48" i="10"/>
  <c r="B44" i="10"/>
  <c r="D44" i="10" s="1"/>
  <c r="G22" i="112" s="1"/>
  <c r="F44" i="10"/>
  <c r="H44" i="10"/>
  <c r="B27" i="10"/>
  <c r="D27" i="10" s="1"/>
  <c r="G5" i="112" s="1"/>
  <c r="F27" i="10"/>
  <c r="H27" i="10"/>
  <c r="B40" i="10"/>
  <c r="D40" i="10" s="1"/>
  <c r="G18" i="112" s="1"/>
  <c r="F40" i="10"/>
  <c r="H40" i="10"/>
  <c r="B54" i="10"/>
  <c r="D54" i="10" s="1"/>
  <c r="G32" i="112" s="1"/>
  <c r="F54" i="10"/>
  <c r="H54" i="10"/>
  <c r="B51" i="10"/>
  <c r="D51" i="10" s="1"/>
  <c r="G29" i="112" s="1"/>
  <c r="F51" i="10"/>
  <c r="H51" i="10"/>
  <c r="B55" i="10"/>
  <c r="D55" i="10" s="1"/>
  <c r="G33" i="112" s="1"/>
  <c r="F55" i="10"/>
  <c r="H55" i="10"/>
  <c r="B29" i="10"/>
  <c r="D29" i="10" s="1"/>
  <c r="G7" i="112" s="1"/>
  <c r="F29" i="10"/>
  <c r="H29" i="10"/>
  <c r="K10" i="112"/>
  <c r="K24" i="112"/>
  <c r="K17" i="112"/>
  <c r="K20" i="112"/>
  <c r="K8" i="112"/>
  <c r="K38" i="112"/>
  <c r="K15" i="112"/>
  <c r="K9" i="112"/>
  <c r="K16" i="112"/>
  <c r="O36" i="111"/>
  <c r="B3" i="109"/>
  <c r="I3" i="109" s="1"/>
  <c r="O9" i="111"/>
  <c r="O29" i="111"/>
  <c r="O30" i="111"/>
  <c r="O21" i="111"/>
  <c r="O37" i="111"/>
  <c r="O33" i="111"/>
  <c r="O34" i="111"/>
  <c r="O32" i="111"/>
  <c r="E20" i="114"/>
  <c r="K4" i="111"/>
  <c r="O4" i="111"/>
  <c r="K14" i="111"/>
  <c r="O14" i="111"/>
  <c r="K25" i="111"/>
  <c r="K38" i="111"/>
  <c r="K11" i="111"/>
  <c r="K31" i="111"/>
  <c r="K24" i="111"/>
  <c r="O24" i="111"/>
  <c r="K22" i="111"/>
  <c r="O22" i="111"/>
  <c r="K6" i="111"/>
  <c r="O6" i="111"/>
  <c r="I144" i="4"/>
  <c r="J144" i="4"/>
  <c r="H30" i="109"/>
  <c r="H22" i="109"/>
  <c r="H10" i="109"/>
  <c r="H18" i="109"/>
  <c r="H4" i="109"/>
  <c r="H37" i="109"/>
  <c r="H36" i="109"/>
  <c r="H29" i="109"/>
  <c r="H15" i="109"/>
  <c r="H26" i="109"/>
  <c r="H14" i="109"/>
  <c r="H7" i="109"/>
  <c r="H17" i="109"/>
  <c r="H6" i="109"/>
  <c r="H21" i="109"/>
  <c r="H13" i="109"/>
  <c r="H27" i="109"/>
  <c r="H9" i="109"/>
  <c r="H34" i="109"/>
  <c r="H23" i="109"/>
  <c r="H20" i="109"/>
  <c r="H33" i="109"/>
  <c r="H25" i="109"/>
  <c r="H32" i="109"/>
  <c r="H24" i="109"/>
  <c r="H16" i="109"/>
  <c r="H31" i="109"/>
  <c r="H28" i="109"/>
  <c r="I11" i="109"/>
  <c r="L11" i="109" s="1"/>
  <c r="L20" i="19"/>
  <c r="AG11" i="20"/>
  <c r="AT11" i="20" s="1"/>
  <c r="AG27" i="20"/>
  <c r="AF27" i="20"/>
  <c r="O9" i="19" a="1"/>
  <c r="O9" i="19" s="1"/>
  <c r="E24" i="114"/>
  <c r="F16" i="112"/>
  <c r="K131" i="4"/>
  <c r="H23" i="4" s="1"/>
  <c r="L23" i="4" s="1"/>
  <c r="J94" i="4"/>
  <c r="J101" i="4"/>
  <c r="I95" i="4"/>
  <c r="I101" i="4"/>
  <c r="L86" i="4"/>
  <c r="L84" i="4"/>
  <c r="L89" i="4"/>
  <c r="J85" i="4"/>
  <c r="L75" i="4"/>
  <c r="L94" i="4"/>
  <c r="L102" i="4"/>
  <c r="L104" i="4"/>
  <c r="L72" i="4"/>
  <c r="J82" i="4"/>
  <c r="L100" i="4"/>
  <c r="L107" i="4"/>
  <c r="L113" i="4"/>
  <c r="L103" i="4"/>
  <c r="L70" i="4"/>
  <c r="L79" i="4"/>
  <c r="L82" i="4"/>
  <c r="J106" i="4"/>
  <c r="J103" i="4"/>
  <c r="J84" i="4"/>
  <c r="L77" i="4"/>
  <c r="L90" i="4"/>
  <c r="L67" i="4"/>
  <c r="L88" i="4"/>
  <c r="L91" i="4"/>
  <c r="L92" i="4"/>
  <c r="L108" i="4"/>
  <c r="L93" i="4"/>
  <c r="L85" i="4"/>
  <c r="L106" i="4"/>
  <c r="L99" i="4"/>
  <c r="L101" i="4"/>
  <c r="J77" i="4"/>
  <c r="J102" i="4"/>
  <c r="J90" i="4"/>
  <c r="J100" i="4"/>
  <c r="J86" i="4"/>
  <c r="J79" i="4"/>
  <c r="J104" i="4"/>
  <c r="J108" i="4"/>
  <c r="J107" i="4"/>
  <c r="J113" i="4"/>
  <c r="J93" i="4"/>
  <c r="J72" i="4"/>
  <c r="J99" i="4"/>
  <c r="J75" i="4"/>
  <c r="J95" i="4"/>
  <c r="J89" i="4"/>
  <c r="J70" i="4"/>
  <c r="J88" i="4"/>
  <c r="J92" i="4"/>
  <c r="J91" i="4"/>
  <c r="J67" i="4"/>
  <c r="K94" i="4"/>
  <c r="K92" i="4"/>
  <c r="K107" i="4"/>
  <c r="K101" i="4"/>
  <c r="K79" i="4"/>
  <c r="K102" i="4"/>
  <c r="AE15" i="7"/>
  <c r="I22" i="5" s="1"/>
  <c r="K82" i="4"/>
  <c r="K88" i="4"/>
  <c r="K100" i="4"/>
  <c r="I90" i="4"/>
  <c r="I82" i="4"/>
  <c r="I92" i="4"/>
  <c r="I91" i="4"/>
  <c r="I106" i="4"/>
  <c r="I84" i="4"/>
  <c r="I100" i="4"/>
  <c r="I77" i="4"/>
  <c r="I86" i="4"/>
  <c r="I107" i="4"/>
  <c r="I85" i="4"/>
  <c r="I93" i="4"/>
  <c r="I72" i="4"/>
  <c r="I103" i="4"/>
  <c r="I102" i="4"/>
  <c r="I79" i="4"/>
  <c r="I113" i="4"/>
  <c r="I104" i="4"/>
  <c r="I89" i="4"/>
  <c r="I108" i="4"/>
  <c r="I70" i="4"/>
  <c r="I94" i="4"/>
  <c r="I88" i="4"/>
  <c r="I67" i="4"/>
  <c r="I99" i="4"/>
  <c r="I75" i="4"/>
  <c r="K77" i="4"/>
  <c r="K91" i="4"/>
  <c r="K103" i="4"/>
  <c r="K85" i="4"/>
  <c r="K104" i="4"/>
  <c r="K95" i="4"/>
  <c r="K93" i="4"/>
  <c r="L144" i="4"/>
  <c r="K86" i="4"/>
  <c r="K84" i="4"/>
  <c r="K75" i="4"/>
  <c r="K67" i="4"/>
  <c r="K72" i="4"/>
  <c r="K99" i="4"/>
  <c r="K89" i="4"/>
  <c r="K106" i="4"/>
  <c r="K108" i="4"/>
  <c r="K90" i="4"/>
  <c r="K113" i="4"/>
  <c r="AC15" i="7"/>
  <c r="I73" i="4" s="1"/>
  <c r="AF15" i="7"/>
  <c r="L73" i="4" s="1"/>
  <c r="S7" i="7"/>
  <c r="Q7" i="7"/>
  <c r="T7" i="7"/>
  <c r="R7" i="7"/>
  <c r="AA7" i="7"/>
  <c r="J73" i="4"/>
  <c r="J74" i="4"/>
  <c r="U21" i="5"/>
  <c r="K71" i="4"/>
  <c r="K68" i="4"/>
  <c r="K69" i="4"/>
  <c r="J68" i="4"/>
  <c r="J69" i="4"/>
  <c r="J71" i="4"/>
  <c r="I69" i="4"/>
  <c r="I71" i="4"/>
  <c r="I68" i="4"/>
  <c r="F3" i="109" l="1"/>
  <c r="B11" i="8" a="1"/>
  <c r="B11" i="8" s="1"/>
  <c r="E15" i="19" s="1"/>
  <c r="AE25" i="20" s="1"/>
  <c r="AF25" i="20" s="1"/>
  <c r="C16" i="8"/>
  <c r="E16" i="8"/>
  <c r="G16" i="8" s="1"/>
  <c r="E24" i="8"/>
  <c r="F11" i="109"/>
  <c r="C24" i="8"/>
  <c r="O27" i="111"/>
  <c r="B9" i="3"/>
  <c r="C4" i="19" s="1"/>
  <c r="O4" i="19" s="1" a="1"/>
  <c r="O4" i="19" s="1"/>
  <c r="O15" i="111"/>
  <c r="O28" i="111"/>
  <c r="O31" i="111"/>
  <c r="O25" i="111"/>
  <c r="O7" i="111"/>
  <c r="U17" i="20"/>
  <c r="V17" i="20" s="1"/>
  <c r="O10" i="111"/>
  <c r="O18" i="111"/>
  <c r="O12" i="111"/>
  <c r="M9" i="4"/>
  <c r="F9" i="4"/>
  <c r="J9" i="4" s="1"/>
  <c r="K10" i="4"/>
  <c r="G9" i="4"/>
  <c r="K9" i="4" s="1"/>
  <c r="H9" i="4"/>
  <c r="O38" i="111"/>
  <c r="O35" i="111"/>
  <c r="O11" i="111"/>
  <c r="L3" i="109"/>
  <c r="O3" i="111"/>
  <c r="K144" i="4"/>
  <c r="J114" i="4"/>
  <c r="AG9" i="20"/>
  <c r="AT9" i="20" s="1"/>
  <c r="L22" i="19" a="1"/>
  <c r="L22" i="19" s="1"/>
  <c r="AG14" i="20" s="1"/>
  <c r="AT14" i="20" s="1"/>
  <c r="Q13" i="5"/>
  <c r="K78" i="4"/>
  <c r="K73" i="4"/>
  <c r="K74" i="4"/>
  <c r="I74" i="4"/>
  <c r="AF7" i="7"/>
  <c r="L50" i="4" s="1"/>
  <c r="AC7" i="7"/>
  <c r="I50" i="4" s="1"/>
  <c r="I78" i="4"/>
  <c r="AE7" i="7"/>
  <c r="I14" i="5" s="1"/>
  <c r="L74" i="4"/>
  <c r="L78" i="4"/>
  <c r="L49" i="4"/>
  <c r="L60" i="4"/>
  <c r="L56" i="4"/>
  <c r="L59" i="4"/>
  <c r="L53" i="4"/>
  <c r="L65" i="4"/>
  <c r="L58" i="4"/>
  <c r="L52" i="4"/>
  <c r="L61" i="4"/>
  <c r="L57" i="4"/>
  <c r="AD7" i="7"/>
  <c r="J50" i="4" s="1"/>
  <c r="I49" i="4"/>
  <c r="I61" i="4"/>
  <c r="I57" i="4"/>
  <c r="I56" i="4"/>
  <c r="I60" i="4"/>
  <c r="I53" i="4"/>
  <c r="I59" i="4"/>
  <c r="I52" i="4"/>
  <c r="I58" i="4"/>
  <c r="I65" i="4"/>
  <c r="K49" i="4"/>
  <c r="K59" i="4"/>
  <c r="K52" i="4"/>
  <c r="K65" i="4"/>
  <c r="K58" i="4"/>
  <c r="K53" i="4"/>
  <c r="K60" i="4"/>
  <c r="K61" i="4"/>
  <c r="K57" i="4"/>
  <c r="K56" i="4"/>
  <c r="J49" i="4"/>
  <c r="J53" i="4"/>
  <c r="J57" i="4"/>
  <c r="J65" i="4"/>
  <c r="J59" i="4"/>
  <c r="J52" i="4"/>
  <c r="J60" i="4"/>
  <c r="J58" i="4"/>
  <c r="J56" i="4"/>
  <c r="J61" i="4"/>
  <c r="V21" i="5"/>
  <c r="T21" i="5"/>
  <c r="S21" i="5"/>
  <c r="AG25" i="20" l="1"/>
  <c r="F16" i="8"/>
  <c r="F24" i="8"/>
  <c r="U9" i="20"/>
  <c r="V9" i="20" s="1"/>
  <c r="L9" i="4"/>
  <c r="G8" i="4"/>
  <c r="H21" i="5" s="1"/>
  <c r="C20" i="19"/>
  <c r="AD10" i="20"/>
  <c r="AQ10" i="20" s="1"/>
  <c r="B33" i="10"/>
  <c r="D33" i="10" s="1"/>
  <c r="G11" i="112" s="1"/>
  <c r="F33" i="10"/>
  <c r="H33" i="10"/>
  <c r="K11" i="112"/>
  <c r="F25" i="10"/>
  <c r="H25" i="10"/>
  <c r="K3" i="112"/>
  <c r="I114" i="4"/>
  <c r="F8" i="4" s="1"/>
  <c r="J8" i="4" s="1"/>
  <c r="J66" i="4"/>
  <c r="I66" i="4"/>
  <c r="F7" i="4" s="1"/>
  <c r="J7" i="4" s="1"/>
  <c r="U13" i="5"/>
  <c r="D7" i="5" s="1" a="1"/>
  <c r="D7" i="5" s="1"/>
  <c r="R13" i="5"/>
  <c r="V13" i="5" s="1"/>
  <c r="P13" i="5"/>
  <c r="T13" i="5" s="1"/>
  <c r="O13" i="5"/>
  <c r="S13" i="5" s="1"/>
  <c r="K114" i="4"/>
  <c r="H8" i="4" s="1"/>
  <c r="L8" i="4" s="1"/>
  <c r="K50" i="4"/>
  <c r="L114" i="4"/>
  <c r="I8" i="4" s="1"/>
  <c r="M8" i="4" s="1"/>
  <c r="L66" i="4"/>
  <c r="I7" i="4" s="1"/>
  <c r="M7" i="4" s="1"/>
  <c r="N27" i="5" s="1"/>
  <c r="G7" i="4" l="1"/>
  <c r="G6" i="4" s="1"/>
  <c r="K6" i="4" s="1"/>
  <c r="K8" i="4"/>
  <c r="C21" i="19" a="1"/>
  <c r="C21" i="19" s="1"/>
  <c r="C22" i="19" a="1"/>
  <c r="C22" i="19" s="1"/>
  <c r="AD14" i="20" s="1"/>
  <c r="AD9" i="20"/>
  <c r="AQ9" i="20" s="1"/>
  <c r="N15" i="5"/>
  <c r="N16" i="5"/>
  <c r="N23" i="5"/>
  <c r="N26" i="5"/>
  <c r="N22" i="5"/>
  <c r="N19" i="5"/>
  <c r="N28" i="5"/>
  <c r="N25" i="5"/>
  <c r="N20" i="5"/>
  <c r="N14" i="5"/>
  <c r="N24" i="5"/>
  <c r="N17" i="5"/>
  <c r="N18" i="5"/>
  <c r="K15" i="5"/>
  <c r="I4" i="126" s="1"/>
  <c r="K25" i="5"/>
  <c r="I14" i="126" s="1"/>
  <c r="K18" i="5"/>
  <c r="I7" i="126" s="1"/>
  <c r="K22" i="5"/>
  <c r="I11" i="126" s="1"/>
  <c r="K27" i="5"/>
  <c r="I16" i="126" s="1"/>
  <c r="K14" i="5"/>
  <c r="I3" i="126" s="1"/>
  <c r="K17" i="5"/>
  <c r="I6" i="126" s="1"/>
  <c r="K16" i="5"/>
  <c r="I5" i="126" s="1"/>
  <c r="K24" i="5"/>
  <c r="I13" i="126" s="1"/>
  <c r="K26" i="5"/>
  <c r="I15" i="126" s="1"/>
  <c r="K23" i="5"/>
  <c r="I12" i="126" s="1"/>
  <c r="K28" i="5"/>
  <c r="I17" i="126" s="1"/>
  <c r="K19" i="5"/>
  <c r="I8" i="126" s="1"/>
  <c r="K20" i="5"/>
  <c r="I9" i="126" s="1"/>
  <c r="I6" i="4"/>
  <c r="M6" i="4" s="1"/>
  <c r="J21" i="5"/>
  <c r="F6" i="4"/>
  <c r="J6" i="4" s="1"/>
  <c r="G21" i="5"/>
  <c r="I21" i="5"/>
  <c r="D7" i="10"/>
  <c r="C7" i="5" a="1"/>
  <c r="C7" i="5" s="1"/>
  <c r="G13" i="19" s="1"/>
  <c r="K66" i="4"/>
  <c r="H7" i="4" s="1"/>
  <c r="L7" i="4" s="1"/>
  <c r="E7" i="5" a="1"/>
  <c r="E7" i="5" s="1"/>
  <c r="M13" i="19" s="1"/>
  <c r="B7" i="5" a="1"/>
  <c r="B7" i="5" s="1"/>
  <c r="D13" i="19" s="1"/>
  <c r="C8" i="6"/>
  <c r="G10" i="19" s="1"/>
  <c r="G11" i="19"/>
  <c r="H16" i="19"/>
  <c r="F5" i="19"/>
  <c r="F8" i="19"/>
  <c r="O8" i="19" s="1" a="1"/>
  <c r="O8" i="19" s="1"/>
  <c r="H17" i="19"/>
  <c r="O17" i="19" s="1" a="1"/>
  <c r="O17" i="19" s="1"/>
  <c r="AQ14" i="20" l="1"/>
  <c r="H13" i="5"/>
  <c r="L13" i="5" s="1"/>
  <c r="K7" i="4"/>
  <c r="L22" i="5" s="1"/>
  <c r="O10" i="19" a="1"/>
  <c r="O10" i="19" s="1"/>
  <c r="M27" i="5"/>
  <c r="M23" i="5"/>
  <c r="M16" i="5"/>
  <c r="M24" i="5"/>
  <c r="M17" i="5"/>
  <c r="M18" i="5"/>
  <c r="M20" i="5"/>
  <c r="M25" i="5"/>
  <c r="M28" i="5"/>
  <c r="M26" i="5"/>
  <c r="M15" i="5"/>
  <c r="M19" i="5"/>
  <c r="M22" i="5"/>
  <c r="M14" i="5"/>
  <c r="O11" i="19" a="1"/>
  <c r="O11" i="19" s="1"/>
  <c r="G13" i="5"/>
  <c r="K13" i="5" s="1"/>
  <c r="I2" i="126" s="1"/>
  <c r="K21" i="5"/>
  <c r="I10" i="126" s="1"/>
  <c r="D8" i="114"/>
  <c r="D13" i="114"/>
  <c r="K45" i="5"/>
  <c r="I33" i="126" s="1"/>
  <c r="K36" i="5"/>
  <c r="I24" i="126" s="1"/>
  <c r="K41" i="5"/>
  <c r="K40" i="5"/>
  <c r="I28" i="126" s="1"/>
  <c r="K35" i="5"/>
  <c r="I23" i="126" s="1"/>
  <c r="K31" i="5"/>
  <c r="I19" i="126" s="1"/>
  <c r="K30" i="5"/>
  <c r="I18" i="126" s="1"/>
  <c r="K44" i="5"/>
  <c r="I32" i="126" s="1"/>
  <c r="K46" i="5"/>
  <c r="I34" i="126" s="1"/>
  <c r="K47" i="5"/>
  <c r="I35" i="126" s="1"/>
  <c r="K32" i="5"/>
  <c r="I20" i="126" s="1"/>
  <c r="K43" i="5"/>
  <c r="I31" i="126" s="1"/>
  <c r="K42" i="5"/>
  <c r="I30" i="126" s="1"/>
  <c r="K34" i="5"/>
  <c r="I22" i="126" s="1"/>
  <c r="K38" i="5"/>
  <c r="I26" i="126" s="1"/>
  <c r="K48" i="5"/>
  <c r="I36" i="126" s="1"/>
  <c r="K37" i="5"/>
  <c r="I25" i="126" s="1"/>
  <c r="K33" i="5"/>
  <c r="I21" i="126" s="1"/>
  <c r="K39" i="5"/>
  <c r="I27" i="126" s="1"/>
  <c r="N21" i="5"/>
  <c r="J13" i="5"/>
  <c r="N13" i="5" s="1"/>
  <c r="N35" i="5"/>
  <c r="N33" i="5"/>
  <c r="N47" i="5"/>
  <c r="N41" i="5"/>
  <c r="N36" i="5"/>
  <c r="D26" i="114" s="1"/>
  <c r="N45" i="5"/>
  <c r="N34" i="5"/>
  <c r="N42" i="5"/>
  <c r="N44" i="5"/>
  <c r="N37" i="5"/>
  <c r="N30" i="5"/>
  <c r="N40" i="5"/>
  <c r="N46" i="5"/>
  <c r="N31" i="5"/>
  <c r="N32" i="5"/>
  <c r="N39" i="5"/>
  <c r="N43" i="5"/>
  <c r="N48" i="5"/>
  <c r="N38" i="5"/>
  <c r="M21" i="5"/>
  <c r="H10" i="128" s="1"/>
  <c r="H6" i="4"/>
  <c r="L6" i="4" s="1"/>
  <c r="I13" i="5"/>
  <c r="M13" i="5" s="1"/>
  <c r="G3" i="112"/>
  <c r="O5" i="19" a="1"/>
  <c r="O5" i="19" s="1"/>
  <c r="AE10" i="20"/>
  <c r="AR10" i="20" s="1"/>
  <c r="D10" i="114"/>
  <c r="D18" i="114"/>
  <c r="D7" i="114"/>
  <c r="E16" i="129"/>
  <c r="E8" i="129"/>
  <c r="D5" i="114"/>
  <c r="E3" i="129"/>
  <c r="E14" i="129"/>
  <c r="E11" i="129"/>
  <c r="E5" i="129"/>
  <c r="E13" i="129"/>
  <c r="E15" i="129"/>
  <c r="E10" i="109"/>
  <c r="E18" i="109"/>
  <c r="E12" i="109"/>
  <c r="E5" i="109"/>
  <c r="E7" i="109"/>
  <c r="E15" i="109"/>
  <c r="F10" i="111"/>
  <c r="F5" i="111"/>
  <c r="F17" i="111"/>
  <c r="F18" i="111"/>
  <c r="F9" i="111"/>
  <c r="F12" i="111"/>
  <c r="F16" i="111"/>
  <c r="F21" i="111"/>
  <c r="F31" i="111"/>
  <c r="F27" i="111"/>
  <c r="F34" i="111"/>
  <c r="F33" i="111"/>
  <c r="F7" i="111"/>
  <c r="F36" i="111"/>
  <c r="F23" i="111"/>
  <c r="F20" i="111"/>
  <c r="F25" i="111"/>
  <c r="F26" i="111"/>
  <c r="F32" i="111"/>
  <c r="F22" i="111"/>
  <c r="F6" i="111"/>
  <c r="F13" i="111"/>
  <c r="F38" i="111"/>
  <c r="F15" i="111"/>
  <c r="F37" i="111"/>
  <c r="F35" i="111"/>
  <c r="F30" i="111"/>
  <c r="F14" i="111"/>
  <c r="F28" i="111"/>
  <c r="F29" i="111"/>
  <c r="F4" i="111"/>
  <c r="F24" i="111"/>
  <c r="F8" i="111"/>
  <c r="H15" i="19"/>
  <c r="O15" i="19" s="1" a="1"/>
  <c r="O15" i="19" s="1"/>
  <c r="C6" i="5" a="1"/>
  <c r="C6" i="5" s="1"/>
  <c r="G12" i="19" s="1"/>
  <c r="F20" i="19"/>
  <c r="F21" i="19" s="1" a="1"/>
  <c r="F21" i="19" s="1"/>
  <c r="L47" i="5" l="1"/>
  <c r="F35" i="127" s="1"/>
  <c r="L46" i="5"/>
  <c r="E36" i="111" s="1"/>
  <c r="E12" i="111"/>
  <c r="F11" i="127"/>
  <c r="E37" i="111"/>
  <c r="E3" i="111"/>
  <c r="F2" i="127"/>
  <c r="L27" i="5"/>
  <c r="L26" i="5"/>
  <c r="L19" i="5"/>
  <c r="L16" i="5"/>
  <c r="L15" i="5"/>
  <c r="L44" i="5"/>
  <c r="L34" i="5"/>
  <c r="L42" i="5"/>
  <c r="L43" i="5"/>
  <c r="L33" i="5"/>
  <c r="L35" i="5"/>
  <c r="L32" i="5"/>
  <c r="L31" i="5"/>
  <c r="L20" i="5"/>
  <c r="L18" i="5"/>
  <c r="L25" i="5"/>
  <c r="L37" i="5"/>
  <c r="L36" i="5"/>
  <c r="L45" i="5"/>
  <c r="L48" i="5"/>
  <c r="L21" i="5"/>
  <c r="L24" i="5"/>
  <c r="L23" i="5"/>
  <c r="L14" i="5"/>
  <c r="L39" i="5"/>
  <c r="L17" i="5"/>
  <c r="L28" i="5"/>
  <c r="L41" i="5"/>
  <c r="L40" i="5"/>
  <c r="L38" i="5"/>
  <c r="L30" i="5"/>
  <c r="H11" i="128"/>
  <c r="H5" i="128"/>
  <c r="H7" i="128"/>
  <c r="H15" i="128"/>
  <c r="H16" i="128"/>
  <c r="H13" i="128"/>
  <c r="H8" i="128"/>
  <c r="H12" i="128"/>
  <c r="H6" i="128"/>
  <c r="H14" i="128"/>
  <c r="H17" i="128"/>
  <c r="H9" i="128"/>
  <c r="H4" i="128"/>
  <c r="H3" i="128"/>
  <c r="M30" i="5"/>
  <c r="M45" i="5"/>
  <c r="H33" i="128" s="1"/>
  <c r="M47" i="5"/>
  <c r="M31" i="5"/>
  <c r="M41" i="5"/>
  <c r="M46" i="5"/>
  <c r="H34" i="128" s="1"/>
  <c r="M34" i="5"/>
  <c r="M39" i="5"/>
  <c r="M38" i="5"/>
  <c r="H26" i="128" s="1"/>
  <c r="M48" i="5"/>
  <c r="H36" i="128" s="1"/>
  <c r="M36" i="5"/>
  <c r="M37" i="5"/>
  <c r="H25" i="128" s="1"/>
  <c r="M44" i="5"/>
  <c r="H32" i="128" s="1"/>
  <c r="M32" i="5"/>
  <c r="H20" i="128" s="1"/>
  <c r="M43" i="5"/>
  <c r="H31" i="128" s="1"/>
  <c r="M35" i="5"/>
  <c r="M42" i="5"/>
  <c r="H30" i="128" s="1"/>
  <c r="M33" i="5"/>
  <c r="M40" i="5"/>
  <c r="H28" i="128" s="1"/>
  <c r="E3" i="112"/>
  <c r="H2" i="128"/>
  <c r="E31" i="109"/>
  <c r="I29" i="126"/>
  <c r="D8" i="10"/>
  <c r="K19" i="19"/>
  <c r="E2" i="129"/>
  <c r="AE9" i="20"/>
  <c r="E17" i="129"/>
  <c r="D17" i="114"/>
  <c r="E8" i="109"/>
  <c r="D14" i="114"/>
  <c r="E17" i="109"/>
  <c r="E7" i="129"/>
  <c r="E9" i="109"/>
  <c r="E6" i="109"/>
  <c r="E14" i="109"/>
  <c r="E13" i="109"/>
  <c r="D9" i="114"/>
  <c r="E4" i="109"/>
  <c r="D16" i="114"/>
  <c r="E16" i="109"/>
  <c r="E9" i="129"/>
  <c r="D12" i="114"/>
  <c r="E17" i="112"/>
  <c r="I17" i="112" s="1"/>
  <c r="E7" i="112"/>
  <c r="I7" i="112" s="1"/>
  <c r="E15" i="112"/>
  <c r="I15" i="112" s="1"/>
  <c r="E6" i="112"/>
  <c r="I6" i="112" s="1"/>
  <c r="E13" i="112"/>
  <c r="I13" i="112" s="1"/>
  <c r="E5" i="112"/>
  <c r="I5" i="112" s="1"/>
  <c r="E9" i="112"/>
  <c r="I9" i="112" s="1"/>
  <c r="E4" i="112"/>
  <c r="I4" i="112" s="1"/>
  <c r="D15" i="114"/>
  <c r="E12" i="129"/>
  <c r="E24" i="129"/>
  <c r="E6" i="129"/>
  <c r="E4" i="129"/>
  <c r="B6" i="5" a="1"/>
  <c r="B6" i="5" s="1"/>
  <c r="D12" i="19" s="1"/>
  <c r="D20" i="19" s="1"/>
  <c r="D6" i="114"/>
  <c r="H24" i="128"/>
  <c r="D4" i="114"/>
  <c r="E11" i="112"/>
  <c r="E6" i="5" a="1"/>
  <c r="E6" i="5" s="1"/>
  <c r="M12" i="19" s="1"/>
  <c r="M20" i="19" s="1"/>
  <c r="D31" i="114"/>
  <c r="E29" i="129"/>
  <c r="D38" i="114"/>
  <c r="E36" i="129"/>
  <c r="D36" i="114"/>
  <c r="E34" i="129"/>
  <c r="D20" i="114"/>
  <c r="E18" i="129"/>
  <c r="D37" i="114"/>
  <c r="E35" i="129"/>
  <c r="D21" i="114"/>
  <c r="E19" i="129"/>
  <c r="E38" i="109"/>
  <c r="E20" i="109"/>
  <c r="E27" i="109"/>
  <c r="D22" i="114"/>
  <c r="E20" i="129"/>
  <c r="E35" i="109"/>
  <c r="D27" i="114"/>
  <c r="E25" i="129"/>
  <c r="D34" i="114"/>
  <c r="E32" i="129"/>
  <c r="D25" i="114"/>
  <c r="E23" i="129"/>
  <c r="E26" i="109"/>
  <c r="E29" i="109"/>
  <c r="E37" i="109"/>
  <c r="E36" i="109"/>
  <c r="D11" i="114"/>
  <c r="E10" i="129"/>
  <c r="D23" i="114"/>
  <c r="E21" i="129"/>
  <c r="E22" i="109"/>
  <c r="D32" i="114"/>
  <c r="E30" i="129"/>
  <c r="D24" i="114"/>
  <c r="E22" i="129"/>
  <c r="D35" i="114"/>
  <c r="E33" i="129"/>
  <c r="E25" i="109"/>
  <c r="E21" i="109"/>
  <c r="E34" i="109"/>
  <c r="E32" i="109"/>
  <c r="D29" i="114"/>
  <c r="E27" i="129"/>
  <c r="D33" i="114"/>
  <c r="E31" i="129"/>
  <c r="E23" i="109"/>
  <c r="D28" i="114"/>
  <c r="E26" i="129"/>
  <c r="E11" i="109"/>
  <c r="D30" i="114"/>
  <c r="E28" i="129"/>
  <c r="E30" i="109"/>
  <c r="E24" i="109"/>
  <c r="E33" i="109"/>
  <c r="E28" i="109"/>
  <c r="F22" i="19" a="1"/>
  <c r="F22" i="19" s="1"/>
  <c r="AE14" i="20" s="1"/>
  <c r="E3" i="109"/>
  <c r="F34" i="127" l="1"/>
  <c r="AR14" i="20"/>
  <c r="AR9" i="20"/>
  <c r="E31" i="111"/>
  <c r="F29" i="127"/>
  <c r="F3" i="127"/>
  <c r="E4" i="111"/>
  <c r="X10" i="20" s="1"/>
  <c r="F36" i="127"/>
  <c r="E38" i="111"/>
  <c r="E15" i="111"/>
  <c r="X21" i="20" s="1"/>
  <c r="F14" i="127"/>
  <c r="E22" i="111"/>
  <c r="F20" i="127"/>
  <c r="E32" i="111"/>
  <c r="F30" i="127"/>
  <c r="E6" i="111"/>
  <c r="X12" i="20" s="1"/>
  <c r="F5" i="127"/>
  <c r="F18" i="127"/>
  <c r="E20" i="111"/>
  <c r="F17" i="127"/>
  <c r="E18" i="111"/>
  <c r="E13" i="111"/>
  <c r="X19" i="20" s="1"/>
  <c r="F12" i="127"/>
  <c r="F33" i="127"/>
  <c r="E35" i="111"/>
  <c r="E8" i="111"/>
  <c r="F7" i="127"/>
  <c r="E25" i="111"/>
  <c r="F23" i="127"/>
  <c r="E24" i="111"/>
  <c r="F22" i="127"/>
  <c r="E9" i="111"/>
  <c r="X15" i="20" s="1"/>
  <c r="F8" i="127"/>
  <c r="E28" i="111"/>
  <c r="F26" i="127"/>
  <c r="E7" i="111"/>
  <c r="X13" i="20" s="1"/>
  <c r="F6" i="127"/>
  <c r="E14" i="111"/>
  <c r="F13" i="127"/>
  <c r="E26" i="111"/>
  <c r="F24" i="127"/>
  <c r="E10" i="111"/>
  <c r="F9" i="127"/>
  <c r="E23" i="111"/>
  <c r="F21" i="127"/>
  <c r="F32" i="127"/>
  <c r="E34" i="111"/>
  <c r="F15" i="127"/>
  <c r="E16" i="111"/>
  <c r="E30" i="111"/>
  <c r="F28" i="127"/>
  <c r="F27" i="127"/>
  <c r="E29" i="111"/>
  <c r="E11" i="111"/>
  <c r="F10" i="127"/>
  <c r="E27" i="111"/>
  <c r="F25" i="127"/>
  <c r="E21" i="111"/>
  <c r="F19" i="127"/>
  <c r="E33" i="111"/>
  <c r="F31" i="127"/>
  <c r="E5" i="111"/>
  <c r="X11" i="20" s="1"/>
  <c r="F4" i="127"/>
  <c r="F16" i="127"/>
  <c r="E17" i="111"/>
  <c r="X23" i="20" s="1"/>
  <c r="E25" i="112"/>
  <c r="I25" i="112" s="1"/>
  <c r="L25" i="112" s="1"/>
  <c r="H23" i="128"/>
  <c r="E23" i="112"/>
  <c r="I23" i="112" s="1"/>
  <c r="L23" i="112" s="1"/>
  <c r="H21" i="128"/>
  <c r="E24" i="112"/>
  <c r="I24" i="112" s="1"/>
  <c r="L24" i="112" s="1"/>
  <c r="L25" i="123" s="1"/>
  <c r="H22" i="128"/>
  <c r="E31" i="112"/>
  <c r="I31" i="112" s="1"/>
  <c r="L31" i="112" s="1"/>
  <c r="H29" i="128"/>
  <c r="E29" i="112"/>
  <c r="I29" i="112" s="1"/>
  <c r="L29" i="112" s="1"/>
  <c r="H27" i="128"/>
  <c r="E21" i="112"/>
  <c r="I21" i="112" s="1"/>
  <c r="L21" i="112" s="1"/>
  <c r="H19" i="128"/>
  <c r="E20" i="112"/>
  <c r="I20" i="112" s="1"/>
  <c r="L20" i="112" s="1"/>
  <c r="L21" i="123" s="1"/>
  <c r="H18" i="128"/>
  <c r="E37" i="112"/>
  <c r="I37" i="112" s="1"/>
  <c r="L37" i="112" s="1"/>
  <c r="H35" i="128"/>
  <c r="L5" i="112"/>
  <c r="L15" i="112"/>
  <c r="L17" i="112"/>
  <c r="L7" i="112"/>
  <c r="L4" i="112"/>
  <c r="L5" i="123" s="1"/>
  <c r="L6" i="112"/>
  <c r="L7" i="123" s="1"/>
  <c r="L9" i="112"/>
  <c r="L10" i="123" s="1"/>
  <c r="L13" i="112"/>
  <c r="D3" i="114"/>
  <c r="J7" i="112"/>
  <c r="H8" i="123" s="1"/>
  <c r="J4" i="112"/>
  <c r="H5" i="123" s="1"/>
  <c r="J5" i="112"/>
  <c r="H6" i="123" s="1"/>
  <c r="J15" i="112"/>
  <c r="H16" i="123" s="1"/>
  <c r="J9" i="112"/>
  <c r="H10" i="123" s="1"/>
  <c r="D6" i="5" a="1"/>
  <c r="D6" i="5" s="1"/>
  <c r="E10" i="112"/>
  <c r="E26" i="112"/>
  <c r="E38" i="112"/>
  <c r="E30" i="112"/>
  <c r="E12" i="112"/>
  <c r="X18" i="20" s="1"/>
  <c r="E35" i="112"/>
  <c r="E18" i="112"/>
  <c r="E22" i="112"/>
  <c r="E33" i="112"/>
  <c r="E34" i="112"/>
  <c r="E14" i="112"/>
  <c r="E8" i="112"/>
  <c r="E16" i="112"/>
  <c r="X22" i="20" s="1"/>
  <c r="E32" i="112"/>
  <c r="E36" i="112"/>
  <c r="X42" i="20" s="1"/>
  <c r="E28" i="112"/>
  <c r="E27" i="112"/>
  <c r="J13" i="112"/>
  <c r="H14" i="123" s="1"/>
  <c r="M22" i="19" a="1"/>
  <c r="M22" i="19" s="1"/>
  <c r="AG15" i="20" s="1"/>
  <c r="AT15" i="20" s="1"/>
  <c r="AG12" i="20"/>
  <c r="AT12" i="20" s="1"/>
  <c r="J6" i="112"/>
  <c r="H7" i="123" s="1"/>
  <c r="J17" i="112"/>
  <c r="H18" i="123" s="1"/>
  <c r="J13" i="19"/>
  <c r="X38" i="20" l="1"/>
  <c r="X39" i="20"/>
  <c r="X33" i="20"/>
  <c r="X20" i="20"/>
  <c r="X40" i="20"/>
  <c r="X26" i="20"/>
  <c r="X27" i="20"/>
  <c r="X36" i="20"/>
  <c r="X34" i="20"/>
  <c r="X14" i="20"/>
  <c r="X35" i="20"/>
  <c r="X41" i="20"/>
  <c r="X44" i="20"/>
  <c r="X29" i="20"/>
  <c r="X32" i="20"/>
  <c r="X31" i="20"/>
  <c r="X28" i="20"/>
  <c r="X37" i="20"/>
  <c r="X30" i="20"/>
  <c r="X16" i="20"/>
  <c r="X24" i="20"/>
  <c r="X43" i="20"/>
  <c r="J37" i="112"/>
  <c r="H38" i="123" s="1"/>
  <c r="J31" i="112"/>
  <c r="H32" i="123" s="1"/>
  <c r="J25" i="112"/>
  <c r="H26" i="123" s="1"/>
  <c r="J24" i="112"/>
  <c r="H25" i="123" s="1"/>
  <c r="J29" i="112"/>
  <c r="H30" i="123" s="1"/>
  <c r="J21" i="112"/>
  <c r="H22" i="123" s="1"/>
  <c r="J20" i="112"/>
  <c r="H21" i="123" s="1"/>
  <c r="J23" i="112"/>
  <c r="H24" i="123" s="1"/>
  <c r="D10" i="123"/>
  <c r="D25" i="123"/>
  <c r="D7" i="123"/>
  <c r="C54" i="10"/>
  <c r="E54" i="10" s="1"/>
  <c r="F32" i="114" s="1"/>
  <c r="H32" i="114" s="1"/>
  <c r="G54" i="10"/>
  <c r="I54" i="10"/>
  <c r="J32" i="114"/>
  <c r="C36" i="10"/>
  <c r="E36" i="10" s="1"/>
  <c r="F14" i="114" s="1"/>
  <c r="H14" i="114" s="1"/>
  <c r="G36" i="10"/>
  <c r="I36" i="10"/>
  <c r="J14" i="114"/>
  <c r="C34" i="10"/>
  <c r="E34" i="10" s="1"/>
  <c r="F12" i="114" s="1"/>
  <c r="H12" i="114" s="1"/>
  <c r="G34" i="10"/>
  <c r="I34" i="10"/>
  <c r="J12" i="114"/>
  <c r="C48" i="10"/>
  <c r="E48" i="10" s="1"/>
  <c r="F26" i="114" s="1"/>
  <c r="H26" i="114" s="1"/>
  <c r="G48" i="10"/>
  <c r="I48" i="10"/>
  <c r="J26" i="114"/>
  <c r="C53" i="10"/>
  <c r="E53" i="10" s="1"/>
  <c r="F31" i="114" s="1"/>
  <c r="H31" i="114" s="1"/>
  <c r="G53" i="10"/>
  <c r="I53" i="10"/>
  <c r="J31" i="114"/>
  <c r="C57" i="10"/>
  <c r="E57" i="10" s="1"/>
  <c r="F35" i="114" s="1"/>
  <c r="H35" i="114" s="1"/>
  <c r="G57" i="10"/>
  <c r="I57" i="10"/>
  <c r="J35" i="114"/>
  <c r="C58" i="10"/>
  <c r="E58" i="10" s="1"/>
  <c r="F36" i="114" s="1"/>
  <c r="H36" i="114" s="1"/>
  <c r="G58" i="10"/>
  <c r="I58" i="10"/>
  <c r="J36" i="114"/>
  <c r="C55" i="10"/>
  <c r="E55" i="10" s="1"/>
  <c r="F33" i="114" s="1"/>
  <c r="H33" i="114" s="1"/>
  <c r="G55" i="10"/>
  <c r="I55" i="10"/>
  <c r="J33" i="114"/>
  <c r="C52" i="10"/>
  <c r="E52" i="10" s="1"/>
  <c r="F30" i="114" s="1"/>
  <c r="H30" i="114" s="1"/>
  <c r="G52" i="10"/>
  <c r="I52" i="10"/>
  <c r="J30" i="114"/>
  <c r="C60" i="10"/>
  <c r="E60" i="10" s="1"/>
  <c r="F38" i="114" s="1"/>
  <c r="H38" i="114" s="1"/>
  <c r="G60" i="10"/>
  <c r="I60" i="10"/>
  <c r="J38" i="114"/>
  <c r="C35" i="10"/>
  <c r="E35" i="10" s="1"/>
  <c r="F13" i="114" s="1"/>
  <c r="H13" i="114" s="1"/>
  <c r="G35" i="10"/>
  <c r="I35" i="10"/>
  <c r="J13" i="114"/>
  <c r="C26" i="10"/>
  <c r="E26" i="10" s="1"/>
  <c r="F4" i="114" s="1"/>
  <c r="H4" i="114" s="1"/>
  <c r="G26" i="10"/>
  <c r="I26" i="10"/>
  <c r="J4" i="114"/>
  <c r="C28" i="10"/>
  <c r="E28" i="10" s="1"/>
  <c r="F6" i="114" s="1"/>
  <c r="H6" i="114" s="1"/>
  <c r="G28" i="10"/>
  <c r="I28" i="10"/>
  <c r="J6" i="114"/>
  <c r="C46" i="10"/>
  <c r="E46" i="10" s="1"/>
  <c r="F24" i="114" s="1"/>
  <c r="H24" i="114" s="1"/>
  <c r="G46" i="10"/>
  <c r="I46" i="10"/>
  <c r="J24" i="114"/>
  <c r="C49" i="10"/>
  <c r="E49" i="10" s="1"/>
  <c r="F27" i="114" s="1"/>
  <c r="H27" i="114" s="1"/>
  <c r="G49" i="10"/>
  <c r="I49" i="10"/>
  <c r="J27" i="114"/>
  <c r="C30" i="10"/>
  <c r="E30" i="10" s="1"/>
  <c r="F8" i="114" s="1"/>
  <c r="H8" i="114" s="1"/>
  <c r="G30" i="10"/>
  <c r="I30" i="10"/>
  <c r="J8" i="114"/>
  <c r="C44" i="10"/>
  <c r="E44" i="10" s="1"/>
  <c r="F22" i="114" s="1"/>
  <c r="H22" i="114" s="1"/>
  <c r="G44" i="10"/>
  <c r="I44" i="10"/>
  <c r="J22" i="114"/>
  <c r="C40" i="10"/>
  <c r="E40" i="10" s="1"/>
  <c r="F18" i="114" s="1"/>
  <c r="H18" i="114" s="1"/>
  <c r="G40" i="10"/>
  <c r="I40" i="10"/>
  <c r="J18" i="114"/>
  <c r="C27" i="10"/>
  <c r="E27" i="10" s="1"/>
  <c r="F5" i="114" s="1"/>
  <c r="H5" i="114" s="1"/>
  <c r="G27" i="10"/>
  <c r="I27" i="10"/>
  <c r="J5" i="114"/>
  <c r="C42" i="10"/>
  <c r="E42" i="10" s="1"/>
  <c r="F20" i="114" s="1"/>
  <c r="H20" i="114" s="1"/>
  <c r="G42" i="10"/>
  <c r="I42" i="10"/>
  <c r="J20" i="114"/>
  <c r="C47" i="10"/>
  <c r="E47" i="10" s="1"/>
  <c r="F25" i="114" s="1"/>
  <c r="H25" i="114" s="1"/>
  <c r="G47" i="10"/>
  <c r="I47" i="10"/>
  <c r="J25" i="114"/>
  <c r="C38" i="10"/>
  <c r="E38" i="10" s="1"/>
  <c r="F16" i="114" s="1"/>
  <c r="H16" i="114" s="1"/>
  <c r="G38" i="10"/>
  <c r="I38" i="10"/>
  <c r="J16" i="114"/>
  <c r="C56" i="10"/>
  <c r="E56" i="10" s="1"/>
  <c r="F34" i="114" s="1"/>
  <c r="H34" i="114" s="1"/>
  <c r="G56" i="10"/>
  <c r="I56" i="10"/>
  <c r="J34" i="114"/>
  <c r="C39" i="10"/>
  <c r="E39" i="10" s="1"/>
  <c r="F17" i="114" s="1"/>
  <c r="H17" i="114" s="1"/>
  <c r="K17" i="114" s="1"/>
  <c r="G39" i="10"/>
  <c r="I39" i="10"/>
  <c r="C29" i="10"/>
  <c r="E29" i="10" s="1"/>
  <c r="F7" i="114" s="1"/>
  <c r="H7" i="114" s="1"/>
  <c r="G29" i="10"/>
  <c r="I29" i="10"/>
  <c r="J7" i="114"/>
  <c r="C50" i="10"/>
  <c r="E50" i="10" s="1"/>
  <c r="F28" i="114" s="1"/>
  <c r="H28" i="114" s="1"/>
  <c r="G50" i="10"/>
  <c r="I50" i="10"/>
  <c r="J28" i="114"/>
  <c r="C32" i="10"/>
  <c r="E32" i="10" s="1"/>
  <c r="F10" i="114" s="1"/>
  <c r="H10" i="114" s="1"/>
  <c r="G32" i="10"/>
  <c r="I32" i="10"/>
  <c r="J10" i="114"/>
  <c r="C31" i="10"/>
  <c r="E31" i="10" s="1"/>
  <c r="F9" i="114" s="1"/>
  <c r="H9" i="114" s="1"/>
  <c r="G31" i="10"/>
  <c r="I31" i="10"/>
  <c r="J9" i="114"/>
  <c r="C37" i="10"/>
  <c r="E37" i="10" s="1"/>
  <c r="F15" i="114" s="1"/>
  <c r="H15" i="114" s="1"/>
  <c r="G37" i="10"/>
  <c r="I37" i="10"/>
  <c r="J15" i="114"/>
  <c r="C43" i="10"/>
  <c r="E43" i="10" s="1"/>
  <c r="F21" i="114" s="1"/>
  <c r="H21" i="114" s="1"/>
  <c r="G43" i="10"/>
  <c r="I43" i="10"/>
  <c r="J21" i="114"/>
  <c r="C51" i="10"/>
  <c r="E51" i="10" s="1"/>
  <c r="F29" i="114" s="1"/>
  <c r="H29" i="114" s="1"/>
  <c r="G51" i="10"/>
  <c r="I51" i="10"/>
  <c r="J29" i="114"/>
  <c r="D14" i="123"/>
  <c r="L14" i="123"/>
  <c r="D6" i="123"/>
  <c r="L6" i="123"/>
  <c r="D22" i="123"/>
  <c r="L22" i="123"/>
  <c r="D38" i="123"/>
  <c r="L38" i="123"/>
  <c r="D24" i="123"/>
  <c r="L24" i="123"/>
  <c r="D30" i="123"/>
  <c r="L30" i="123"/>
  <c r="D8" i="123"/>
  <c r="L8" i="123"/>
  <c r="D26" i="123"/>
  <c r="L26" i="123"/>
  <c r="D18" i="123"/>
  <c r="L18" i="123"/>
  <c r="D32" i="123"/>
  <c r="L32" i="123"/>
  <c r="D16" i="123"/>
  <c r="L16" i="123"/>
  <c r="D21" i="19" a="1"/>
  <c r="D21" i="19" s="1"/>
  <c r="D21" i="123"/>
  <c r="D5" i="123"/>
  <c r="AD12" i="20"/>
  <c r="AQ12" i="20" s="1"/>
  <c r="D22" i="19" a="1"/>
  <c r="D22" i="19" s="1"/>
  <c r="AD15" i="20" s="1"/>
  <c r="AQ15" i="20" s="1"/>
  <c r="I8" i="112"/>
  <c r="I22" i="112"/>
  <c r="I26" i="112"/>
  <c r="I28" i="112"/>
  <c r="I32" i="112"/>
  <c r="I16" i="112"/>
  <c r="I14" i="112"/>
  <c r="I34" i="112"/>
  <c r="I30" i="112"/>
  <c r="I36" i="112"/>
  <c r="I35" i="112"/>
  <c r="I27" i="112"/>
  <c r="I33" i="112"/>
  <c r="I38" i="112"/>
  <c r="I12" i="112"/>
  <c r="I18" i="112"/>
  <c r="I10" i="112"/>
  <c r="O13" i="19" a="1"/>
  <c r="O13" i="19" s="1"/>
  <c r="J12" i="19"/>
  <c r="O12" i="19" s="1" a="1"/>
  <c r="O12" i="19" s="1"/>
  <c r="X17" i="20" l="1"/>
  <c r="X9" i="20" s="1"/>
  <c r="C45" i="10"/>
  <c r="E45" i="10" s="1"/>
  <c r="F23" i="114" s="1"/>
  <c r="H23" i="114" s="1"/>
  <c r="I7" i="135" s="1" a="1"/>
  <c r="I7" i="135" s="1"/>
  <c r="G45" i="10"/>
  <c r="I45" i="10"/>
  <c r="J23" i="114"/>
  <c r="K7" i="114"/>
  <c r="I7" i="114"/>
  <c r="I8" i="123" s="1"/>
  <c r="I17" i="114"/>
  <c r="I18" i="123" s="1"/>
  <c r="K34" i="114"/>
  <c r="I34" i="114"/>
  <c r="I35" i="123" s="1"/>
  <c r="K16" i="114"/>
  <c r="I16" i="114"/>
  <c r="I17" i="123" s="1"/>
  <c r="C59" i="10"/>
  <c r="E59" i="10" s="1"/>
  <c r="F37" i="114" s="1"/>
  <c r="H37" i="114" s="1"/>
  <c r="I5" i="135" s="1" a="1"/>
  <c r="I5" i="135" s="1"/>
  <c r="G59" i="10"/>
  <c r="I59" i="10"/>
  <c r="J37" i="114"/>
  <c r="K29" i="114"/>
  <c r="I29" i="114"/>
  <c r="I30" i="123" s="1"/>
  <c r="I21" i="114"/>
  <c r="I22" i="123" s="1"/>
  <c r="K21" i="114"/>
  <c r="K15" i="114"/>
  <c r="I15" i="114"/>
  <c r="I16" i="123" s="1"/>
  <c r="K9" i="114"/>
  <c r="I9" i="114"/>
  <c r="I10" i="123" s="1"/>
  <c r="K10" i="114"/>
  <c r="I10" i="114"/>
  <c r="I11" i="123" s="1"/>
  <c r="K28" i="114"/>
  <c r="I28" i="114"/>
  <c r="I29" i="123" s="1"/>
  <c r="K25" i="114"/>
  <c r="I25" i="114"/>
  <c r="I26" i="123" s="1"/>
  <c r="K20" i="114"/>
  <c r="I20" i="114"/>
  <c r="I21" i="123" s="1"/>
  <c r="K5" i="114"/>
  <c r="I5" i="114"/>
  <c r="I6" i="123" s="1"/>
  <c r="K18" i="114"/>
  <c r="I18" i="114"/>
  <c r="I19" i="123" s="1"/>
  <c r="K22" i="114"/>
  <c r="I22" i="114"/>
  <c r="I23" i="123" s="1"/>
  <c r="K8" i="114"/>
  <c r="I8" i="114"/>
  <c r="I9" i="123" s="1"/>
  <c r="K27" i="114"/>
  <c r="I27" i="114"/>
  <c r="I28" i="123" s="1"/>
  <c r="K24" i="114"/>
  <c r="I24" i="114"/>
  <c r="I25" i="123" s="1"/>
  <c r="K6" i="114"/>
  <c r="I6" i="114"/>
  <c r="I7" i="123" s="1"/>
  <c r="K4" i="114"/>
  <c r="I4" i="114"/>
  <c r="I5" i="123" s="1"/>
  <c r="K13" i="114"/>
  <c r="I13" i="114"/>
  <c r="I14" i="123" s="1"/>
  <c r="K38" i="114"/>
  <c r="I38" i="114"/>
  <c r="I39" i="123" s="1"/>
  <c r="K30" i="114"/>
  <c r="I30" i="114"/>
  <c r="I31" i="123" s="1"/>
  <c r="K33" i="114"/>
  <c r="I33" i="114"/>
  <c r="I34" i="123" s="1"/>
  <c r="K36" i="114"/>
  <c r="I36" i="114"/>
  <c r="I37" i="123" s="1"/>
  <c r="K35" i="114"/>
  <c r="I35" i="114"/>
  <c r="I36" i="123" s="1"/>
  <c r="K31" i="114"/>
  <c r="I31" i="114"/>
  <c r="I32" i="123" s="1"/>
  <c r="K26" i="114"/>
  <c r="I26" i="114"/>
  <c r="I27" i="123" s="1"/>
  <c r="I6" i="135" a="1"/>
  <c r="I6" i="135" s="1"/>
  <c r="K12" i="114"/>
  <c r="I12" i="114"/>
  <c r="I13" i="123" s="1"/>
  <c r="K14" i="114"/>
  <c r="I14" i="114"/>
  <c r="I15" i="123" s="1"/>
  <c r="K32" i="114"/>
  <c r="I32" i="114"/>
  <c r="I33" i="123" s="1"/>
  <c r="L18" i="112"/>
  <c r="L33" i="112"/>
  <c r="L30" i="112"/>
  <c r="L32" i="112"/>
  <c r="L8" i="112"/>
  <c r="L9" i="123" s="1"/>
  <c r="H7" i="135" a="1"/>
  <c r="H7" i="135" s="1"/>
  <c r="H4" i="135" a="1"/>
  <c r="H4" i="135" s="1"/>
  <c r="L27" i="112"/>
  <c r="L34" i="112"/>
  <c r="L28" i="112"/>
  <c r="L35" i="112"/>
  <c r="L14" i="112"/>
  <c r="L15" i="123" s="1"/>
  <c r="H5" i="135" a="1"/>
  <c r="H5" i="135" s="1"/>
  <c r="L10" i="112"/>
  <c r="L12" i="112"/>
  <c r="L13" i="123" s="1"/>
  <c r="H6" i="135" a="1"/>
  <c r="H6" i="135" s="1"/>
  <c r="L38" i="112"/>
  <c r="L36" i="112"/>
  <c r="L16" i="112"/>
  <c r="L26" i="112"/>
  <c r="L22" i="112"/>
  <c r="L23" i="123" s="1"/>
  <c r="J32" i="112"/>
  <c r="H33" i="123" s="1"/>
  <c r="J35" i="112"/>
  <c r="H36" i="123" s="1"/>
  <c r="J28" i="112"/>
  <c r="H29" i="123" s="1"/>
  <c r="J26" i="112"/>
  <c r="H27" i="123" s="1"/>
  <c r="J30" i="112"/>
  <c r="H31" i="123" s="1"/>
  <c r="J8" i="112"/>
  <c r="H9" i="123" s="1"/>
  <c r="J22" i="112"/>
  <c r="H23" i="123" s="1"/>
  <c r="J34" i="112"/>
  <c r="H35" i="123" s="1"/>
  <c r="J36" i="112"/>
  <c r="H37" i="123" s="1"/>
  <c r="J27" i="112"/>
  <c r="H28" i="123" s="1"/>
  <c r="J16" i="112"/>
  <c r="H17" i="123" s="1"/>
  <c r="J33" i="112"/>
  <c r="H34" i="123" s="1"/>
  <c r="J10" i="112"/>
  <c r="H11" i="123" s="1"/>
  <c r="J14" i="112"/>
  <c r="H15" i="123" s="1"/>
  <c r="J38" i="112"/>
  <c r="H39" i="123" s="1"/>
  <c r="J18" i="112"/>
  <c r="H19" i="123" s="1"/>
  <c r="J12" i="112"/>
  <c r="H13" i="123" s="1"/>
  <c r="J20" i="19"/>
  <c r="J21" i="19" s="1" a="1"/>
  <c r="J21" i="19" s="1"/>
  <c r="I4" i="135" l="1" a="1"/>
  <c r="I4" i="135" s="1"/>
  <c r="M33" i="123"/>
  <c r="E33" i="123"/>
  <c r="M13" i="123"/>
  <c r="E13" i="123"/>
  <c r="E6" i="135" a="1"/>
  <c r="E6" i="135" s="1"/>
  <c r="M26" i="123"/>
  <c r="E26" i="123"/>
  <c r="M11" i="123"/>
  <c r="E11" i="123"/>
  <c r="M16" i="123"/>
  <c r="E16" i="123"/>
  <c r="M30" i="123"/>
  <c r="E30" i="123"/>
  <c r="K37" i="114"/>
  <c r="I37" i="114"/>
  <c r="I38" i="123" s="1"/>
  <c r="M35" i="123"/>
  <c r="E35" i="123"/>
  <c r="M8" i="123"/>
  <c r="E8" i="123"/>
  <c r="K23" i="114"/>
  <c r="I23" i="114"/>
  <c r="I24" i="123" s="1"/>
  <c r="C33" i="10"/>
  <c r="E33" i="10" s="1"/>
  <c r="F11" i="114" s="1"/>
  <c r="G33" i="10"/>
  <c r="I33" i="10"/>
  <c r="J11" i="114"/>
  <c r="M25" i="123"/>
  <c r="E25" i="123"/>
  <c r="M9" i="123"/>
  <c r="E9" i="123"/>
  <c r="M19" i="123"/>
  <c r="E19" i="123"/>
  <c r="E5" i="135" a="1"/>
  <c r="E5" i="135" s="1"/>
  <c r="M21" i="123"/>
  <c r="E21" i="123"/>
  <c r="E22" i="123"/>
  <c r="M22" i="123"/>
  <c r="C25" i="10"/>
  <c r="G25" i="10"/>
  <c r="I25" i="10"/>
  <c r="J3" i="114"/>
  <c r="L21" i="19" a="1"/>
  <c r="L21" i="19" s="1"/>
  <c r="M21" i="19" a="1"/>
  <c r="M21" i="19" s="1"/>
  <c r="M32" i="123"/>
  <c r="E32" i="123"/>
  <c r="M37" i="123"/>
  <c r="E37" i="123"/>
  <c r="M31" i="123"/>
  <c r="E31" i="123"/>
  <c r="M14" i="123"/>
  <c r="E14" i="123"/>
  <c r="M15" i="123"/>
  <c r="E15" i="123"/>
  <c r="M29" i="123"/>
  <c r="E29" i="123"/>
  <c r="M10" i="123"/>
  <c r="E10" i="123"/>
  <c r="M17" i="123"/>
  <c r="E17" i="123"/>
  <c r="M18" i="123"/>
  <c r="E18" i="123"/>
  <c r="M27" i="123"/>
  <c r="E27" i="123"/>
  <c r="M36" i="123"/>
  <c r="E36" i="123"/>
  <c r="M34" i="123"/>
  <c r="E34" i="123"/>
  <c r="M39" i="123"/>
  <c r="E39" i="123"/>
  <c r="M5" i="123"/>
  <c r="E5" i="123"/>
  <c r="M7" i="123"/>
  <c r="E7" i="123"/>
  <c r="M28" i="123"/>
  <c r="E28" i="123"/>
  <c r="M23" i="123"/>
  <c r="E23" i="123"/>
  <c r="M6" i="123"/>
  <c r="E6" i="123"/>
  <c r="D37" i="123"/>
  <c r="L37" i="123"/>
  <c r="D11" i="123"/>
  <c r="L11" i="123"/>
  <c r="D39" i="123"/>
  <c r="L39" i="123"/>
  <c r="D34" i="123"/>
  <c r="L34" i="123"/>
  <c r="D29" i="123"/>
  <c r="L29" i="123"/>
  <c r="D27" i="123"/>
  <c r="L27" i="123"/>
  <c r="D35" i="123"/>
  <c r="L35" i="123"/>
  <c r="D17" i="123"/>
  <c r="L17" i="123"/>
  <c r="D36" i="123"/>
  <c r="L36" i="123"/>
  <c r="D28" i="123"/>
  <c r="L28" i="123"/>
  <c r="D33" i="123"/>
  <c r="L33" i="123"/>
  <c r="D19" i="123"/>
  <c r="L19" i="123"/>
  <c r="D31" i="123"/>
  <c r="L31" i="123"/>
  <c r="D6" i="135" a="1"/>
  <c r="D6" i="135" s="1"/>
  <c r="D5" i="135" a="1"/>
  <c r="D5" i="135" s="1"/>
  <c r="D7" i="135" a="1"/>
  <c r="D7" i="135" s="1"/>
  <c r="D4" i="135" a="1"/>
  <c r="D4" i="135" s="1"/>
  <c r="D23" i="123"/>
  <c r="D13" i="123"/>
  <c r="D15" i="123"/>
  <c r="D9" i="123"/>
  <c r="J22" i="19" a="1"/>
  <c r="J22" i="19" s="1"/>
  <c r="AF15" i="20" s="1"/>
  <c r="AS15" i="20" s="1"/>
  <c r="AF12" i="20"/>
  <c r="AS12" i="20" s="1"/>
  <c r="I20" i="19"/>
  <c r="F25" i="12"/>
  <c r="C17" i="12"/>
  <c r="D17" i="12" s="1"/>
  <c r="I21" i="19" l="1" a="1"/>
  <c r="I21" i="19" s="1"/>
  <c r="E4" i="135" a="1"/>
  <c r="E4" i="135" s="1"/>
  <c r="M7" i="135" s="1"/>
  <c r="E7" i="135" a="1"/>
  <c r="E7" i="135" s="1"/>
  <c r="M24" i="123"/>
  <c r="E24" i="123"/>
  <c r="E25" i="10"/>
  <c r="E7" i="10"/>
  <c r="F7" i="10" s="1"/>
  <c r="M38" i="123"/>
  <c r="E38" i="123"/>
  <c r="L5" i="135"/>
  <c r="L7" i="135"/>
  <c r="L6" i="135"/>
  <c r="AF9" i="20"/>
  <c r="I22" i="19" a="1"/>
  <c r="I22" i="19" s="1"/>
  <c r="AF14" i="20" s="1"/>
  <c r="F17" i="12"/>
  <c r="G25" i="12"/>
  <c r="L25" i="12"/>
  <c r="AS14" i="20" l="1"/>
  <c r="AH14" i="20"/>
  <c r="AI14" i="20" s="1"/>
  <c r="AS9" i="20"/>
  <c r="AB11" i="20"/>
  <c r="M5" i="135"/>
  <c r="M6" i="135"/>
  <c r="E9" i="10" a="1"/>
  <c r="E9" i="10" s="1"/>
  <c r="F3" i="114"/>
  <c r="M17" i="12"/>
  <c r="O17" i="12"/>
  <c r="M25" i="12"/>
  <c r="J10" i="127" s="1"/>
  <c r="O25" i="12"/>
  <c r="G10" i="129" s="1"/>
  <c r="N25" i="12"/>
  <c r="J10" i="128" s="1"/>
  <c r="P25" i="12"/>
  <c r="K10" i="126" s="1"/>
  <c r="G17" i="12"/>
  <c r="F3" i="111" l="1"/>
  <c r="J2" i="127"/>
  <c r="E3" i="114"/>
  <c r="H3" i="114" s="1"/>
  <c r="K3" i="114" s="1"/>
  <c r="M4" i="123" s="1"/>
  <c r="G2" i="129"/>
  <c r="E8" i="10"/>
  <c r="F8" i="10" s="1"/>
  <c r="AE28" i="20" s="1"/>
  <c r="N19" i="19"/>
  <c r="O19" i="19" s="1" a="1"/>
  <c r="O19" i="19" s="1"/>
  <c r="E7" i="12" a="1"/>
  <c r="E7" i="12" s="1"/>
  <c r="N18" i="19" s="1"/>
  <c r="C7" i="12" a="1"/>
  <c r="C7" i="12" s="1"/>
  <c r="H18" i="19" s="1"/>
  <c r="N17" i="12"/>
  <c r="F11" i="111"/>
  <c r="L17" i="12"/>
  <c r="AE29" i="20"/>
  <c r="E11" i="114"/>
  <c r="H11" i="114" s="1"/>
  <c r="K11" i="114" s="1"/>
  <c r="M12" i="123" s="1"/>
  <c r="F11" i="112"/>
  <c r="H11" i="109"/>
  <c r="B8" i="12" a="1"/>
  <c r="B8" i="12" s="1"/>
  <c r="B7" i="12" l="1" a="1"/>
  <c r="B7" i="12" s="1"/>
  <c r="E18" i="19" s="1"/>
  <c r="K2" i="126"/>
  <c r="D7" i="12" a="1"/>
  <c r="D7" i="12" s="1"/>
  <c r="K18" i="19" s="1"/>
  <c r="K20" i="19" s="1"/>
  <c r="J2" i="128"/>
  <c r="H20" i="19"/>
  <c r="H21" i="19" s="1" a="1"/>
  <c r="H21" i="19" s="1"/>
  <c r="N20" i="19"/>
  <c r="I3" i="114"/>
  <c r="I4" i="123" s="1"/>
  <c r="AG28" i="20"/>
  <c r="AF28" i="20"/>
  <c r="I11" i="112"/>
  <c r="L11" i="112" s="1"/>
  <c r="L12" i="123" s="1"/>
  <c r="F3" i="112"/>
  <c r="I11" i="114"/>
  <c r="I12" i="123" s="1"/>
  <c r="AG29" i="20"/>
  <c r="AF29" i="20"/>
  <c r="H3" i="109"/>
  <c r="L38" i="114"/>
  <c r="L20" i="114"/>
  <c r="L22" i="114"/>
  <c r="L3" i="114"/>
  <c r="L13" i="114"/>
  <c r="L17" i="114"/>
  <c r="L4" i="114"/>
  <c r="L9" i="114"/>
  <c r="L32" i="114"/>
  <c r="L31" i="114"/>
  <c r="L10" i="114"/>
  <c r="L18" i="114"/>
  <c r="L12" i="114"/>
  <c r="L14" i="114"/>
  <c r="L35" i="114"/>
  <c r="L21" i="114"/>
  <c r="L27" i="114"/>
  <c r="E4" i="123"/>
  <c r="L33" i="114"/>
  <c r="L37" i="114"/>
  <c r="L30" i="114"/>
  <c r="L7" i="114"/>
  <c r="L26" i="114"/>
  <c r="L5" i="114"/>
  <c r="L29" i="114"/>
  <c r="L25" i="114"/>
  <c r="L24" i="114"/>
  <c r="L28" i="114"/>
  <c r="L16" i="114"/>
  <c r="L6" i="114"/>
  <c r="L23" i="114"/>
  <c r="L15" i="114"/>
  <c r="L36" i="114"/>
  <c r="L34" i="114"/>
  <c r="L8" i="114"/>
  <c r="N21" i="19" l="1" a="1"/>
  <c r="N21" i="19" s="1"/>
  <c r="L24" i="19"/>
  <c r="K21" i="19" a="1"/>
  <c r="K21" i="19" s="1"/>
  <c r="I24" i="19"/>
  <c r="I26" i="19"/>
  <c r="AF13" i="20"/>
  <c r="AS13" i="20" s="1"/>
  <c r="K29" i="19"/>
  <c r="I27" i="19" s="1" a="1"/>
  <c r="I27" i="19" s="1"/>
  <c r="K22" i="19" a="1"/>
  <c r="K22" i="19" s="1"/>
  <c r="AF16" i="20" s="1"/>
  <c r="AS16" i="20" s="1"/>
  <c r="H22" i="19" a="1"/>
  <c r="H22" i="19" s="1"/>
  <c r="AE16" i="20" s="1"/>
  <c r="AR16" i="20" s="1"/>
  <c r="AE13" i="20"/>
  <c r="AR13" i="20" s="1"/>
  <c r="N29" i="19"/>
  <c r="L27" i="19" s="1" a="1"/>
  <c r="L27" i="19" s="1"/>
  <c r="AG13" i="20"/>
  <c r="AT13" i="20" s="1"/>
  <c r="N22" i="19" a="1"/>
  <c r="N22" i="19" s="1"/>
  <c r="AG16" i="20" s="1"/>
  <c r="AT16" i="20" s="1"/>
  <c r="L26" i="19"/>
  <c r="J11" i="112"/>
  <c r="H12" i="123" s="1"/>
  <c r="D12" i="123"/>
  <c r="I3" i="112"/>
  <c r="E12" i="123"/>
  <c r="L11" i="114"/>
  <c r="O18" i="19" a="1"/>
  <c r="O18" i="19" s="1"/>
  <c r="L23" i="19" l="1"/>
  <c r="L28" i="19" a="1"/>
  <c r="L28" i="19" s="1"/>
  <c r="I23" i="19"/>
  <c r="I28" i="19" a="1"/>
  <c r="I28" i="19" s="1"/>
  <c r="AF17" i="20"/>
  <c r="AS17" i="20" s="1"/>
  <c r="J23" i="19"/>
  <c r="AG17" i="20"/>
  <c r="AT17" i="20" s="1"/>
  <c r="M23" i="19"/>
  <c r="J3" i="112"/>
  <c r="H4" i="123" s="1"/>
  <c r="L3" i="112"/>
  <c r="L4" i="123" s="1"/>
  <c r="M38" i="112" l="1"/>
  <c r="M34" i="112"/>
  <c r="M33" i="112"/>
  <c r="M36" i="112"/>
  <c r="M27" i="112"/>
  <c r="M13" i="112"/>
  <c r="M28" i="112"/>
  <c r="M23" i="112"/>
  <c r="M31" i="112"/>
  <c r="M7" i="112"/>
  <c r="M14" i="112"/>
  <c r="M30" i="112"/>
  <c r="M12" i="112"/>
  <c r="M10" i="112"/>
  <c r="M26" i="112"/>
  <c r="M9" i="112"/>
  <c r="D4" i="123"/>
  <c r="M4" i="112"/>
  <c r="M5" i="112"/>
  <c r="M29" i="112"/>
  <c r="M37" i="112"/>
  <c r="M6" i="112"/>
  <c r="M15" i="112"/>
  <c r="M20" i="112"/>
  <c r="M22" i="112"/>
  <c r="M24" i="112"/>
  <c r="M3" i="112"/>
  <c r="M35" i="112"/>
  <c r="M18" i="112"/>
  <c r="M17" i="112"/>
  <c r="M21" i="112"/>
  <c r="M25" i="112"/>
  <c r="M16" i="112"/>
  <c r="M32" i="112"/>
  <c r="M8" i="112"/>
  <c r="M11" i="112"/>
  <c r="G30" i="8" l="1"/>
  <c r="H30" i="8" s="1"/>
  <c r="I30" i="8" s="1"/>
  <c r="C39" i="9"/>
  <c r="F39" i="9" l="1"/>
  <c r="G17" i="109" s="1"/>
  <c r="Y23" i="20" s="1"/>
  <c r="Z23" i="20" l="1"/>
  <c r="AA23" i="20" s="1"/>
  <c r="G39" i="9"/>
  <c r="J17" i="109"/>
  <c r="K17" i="109" l="1"/>
  <c r="M17" i="109"/>
  <c r="F18" i="123" l="1"/>
  <c r="N17" i="112"/>
  <c r="J18" i="123"/>
  <c r="B18" i="123"/>
  <c r="C35" i="9"/>
  <c r="C38" i="9"/>
  <c r="C59" i="9"/>
  <c r="C36" i="9"/>
  <c r="C30" i="9"/>
  <c r="C50" i="9"/>
  <c r="C58" i="9"/>
  <c r="C55" i="9"/>
  <c r="C48" i="9"/>
  <c r="C27" i="9"/>
  <c r="C43" i="9"/>
  <c r="C46" i="9"/>
  <c r="C42" i="9"/>
  <c r="C47" i="9"/>
  <c r="C26" i="9"/>
  <c r="C25" i="9"/>
  <c r="G40" i="8" l="1"/>
  <c r="H40" i="8" s="1"/>
  <c r="I40" i="8" s="1"/>
  <c r="G33" i="8"/>
  <c r="H33" i="8" s="1"/>
  <c r="I33" i="8" s="1"/>
  <c r="G43" i="8"/>
  <c r="H43" i="8" s="1"/>
  <c r="I43" i="8" s="1"/>
  <c r="G38" i="8"/>
  <c r="H38" i="8" s="1"/>
  <c r="I38" i="8" s="1"/>
  <c r="G34" i="8"/>
  <c r="H34" i="8" s="1"/>
  <c r="I34" i="8" s="1"/>
  <c r="G22" i="8"/>
  <c r="H22" i="8" s="1"/>
  <c r="I22" i="8" s="1"/>
  <c r="G20" i="8"/>
  <c r="H20" i="8" s="1"/>
  <c r="I20" i="8" s="1"/>
  <c r="H16" i="8"/>
  <c r="I16" i="8" s="1"/>
  <c r="G17" i="8"/>
  <c r="H17" i="8" s="1"/>
  <c r="I17" i="8" s="1"/>
  <c r="G23" i="8"/>
  <c r="H23" i="8" s="1"/>
  <c r="I23" i="8" s="1"/>
  <c r="G37" i="8"/>
  <c r="H37" i="8" s="1"/>
  <c r="I37" i="8" s="1"/>
  <c r="G39" i="8"/>
  <c r="H39" i="8" s="1"/>
  <c r="I39" i="8" s="1"/>
  <c r="G41" i="8"/>
  <c r="H41" i="8" s="1"/>
  <c r="I41" i="8" s="1"/>
  <c r="G36" i="8"/>
  <c r="H36" i="8" s="1"/>
  <c r="I36" i="8" s="1"/>
  <c r="G51" i="8"/>
  <c r="H51" i="8" s="1"/>
  <c r="I51" i="8" s="1"/>
  <c r="G47" i="8"/>
  <c r="H47" i="8" s="1"/>
  <c r="I47" i="8" s="1"/>
  <c r="G18" i="8"/>
  <c r="H18" i="8" s="1"/>
  <c r="I18" i="8" s="1"/>
  <c r="G46" i="8"/>
  <c r="H46" i="8" s="1"/>
  <c r="I46" i="8" s="1"/>
  <c r="G49" i="8"/>
  <c r="H49" i="8" s="1"/>
  <c r="I49" i="8" s="1"/>
  <c r="G42" i="8"/>
  <c r="H42" i="8" s="1"/>
  <c r="I42" i="8" s="1"/>
  <c r="G21" i="8"/>
  <c r="H21" i="8" s="1"/>
  <c r="I21" i="8" s="1"/>
  <c r="G28" i="8"/>
  <c r="H28" i="8" s="1"/>
  <c r="I28" i="8" s="1"/>
  <c r="G31" i="8"/>
  <c r="H31" i="8" s="1"/>
  <c r="I31" i="8" s="1"/>
  <c r="G26" i="8"/>
  <c r="H26" i="8" s="1"/>
  <c r="I26" i="8" s="1"/>
  <c r="G24" i="8"/>
  <c r="H24" i="8" s="1"/>
  <c r="I24" i="8" s="1"/>
  <c r="G27" i="8"/>
  <c r="H27" i="8" s="1"/>
  <c r="I27" i="8" s="1"/>
  <c r="G50" i="8"/>
  <c r="H50" i="8" s="1"/>
  <c r="I50" i="8" s="1"/>
  <c r="G29" i="8"/>
  <c r="H29" i="8" s="1"/>
  <c r="I29" i="8" s="1"/>
  <c r="C49" i="9"/>
  <c r="C52" i="9"/>
  <c r="C31" i="9"/>
  <c r="C29" i="9"/>
  <c r="C45" i="9"/>
  <c r="C51" i="9"/>
  <c r="C60" i="9"/>
  <c r="C56" i="9"/>
  <c r="C32" i="9"/>
  <c r="C37" i="9"/>
  <c r="C40" i="9"/>
  <c r="C33" i="9"/>
  <c r="F42" i="9" l="1"/>
  <c r="G20" i="109" s="1"/>
  <c r="Y26" i="20" s="1"/>
  <c r="F26" i="9"/>
  <c r="G4" i="109" s="1"/>
  <c r="Y10" i="20" s="1"/>
  <c r="F32" i="9"/>
  <c r="G10" i="109" s="1"/>
  <c r="Y16" i="20" s="1"/>
  <c r="F60" i="9"/>
  <c r="G60" i="9" s="1"/>
  <c r="F29" i="9"/>
  <c r="G7" i="109" s="1"/>
  <c r="Y13" i="20" s="1"/>
  <c r="F52" i="9"/>
  <c r="G52" i="9" s="1"/>
  <c r="F47" i="9"/>
  <c r="G47" i="9" s="1"/>
  <c r="F50" i="9"/>
  <c r="G28" i="109" s="1"/>
  <c r="Y34" i="20" s="1"/>
  <c r="F33" i="9"/>
  <c r="G33" i="9" s="1"/>
  <c r="F40" i="9"/>
  <c r="G40" i="9" s="1"/>
  <c r="F59" i="9"/>
  <c r="G59" i="9" s="1"/>
  <c r="F46" i="9"/>
  <c r="G46" i="9" s="1"/>
  <c r="F25" i="9"/>
  <c r="G25" i="9" s="1"/>
  <c r="F43" i="9"/>
  <c r="G43" i="9" s="1"/>
  <c r="F56" i="9"/>
  <c r="G34" i="109" s="1"/>
  <c r="Y40" i="20" s="1"/>
  <c r="F45" i="9"/>
  <c r="G45" i="9" s="1"/>
  <c r="F36" i="9"/>
  <c r="G36" i="9" s="1"/>
  <c r="F30" i="9"/>
  <c r="G8" i="109" s="1"/>
  <c r="Y14" i="20" s="1"/>
  <c r="F48" i="9"/>
  <c r="G48" i="9" s="1"/>
  <c r="F31" i="9"/>
  <c r="G31" i="9" s="1"/>
  <c r="F51" i="9"/>
  <c r="G51" i="9" s="1"/>
  <c r="F49" i="9"/>
  <c r="G49" i="9" s="1"/>
  <c r="F37" i="9"/>
  <c r="G37" i="9" s="1"/>
  <c r="F38" i="9"/>
  <c r="G16" i="109" s="1"/>
  <c r="Y22" i="20" s="1"/>
  <c r="F27" i="9"/>
  <c r="G27" i="9" s="1"/>
  <c r="F35" i="9"/>
  <c r="G13" i="109" s="1"/>
  <c r="Y19" i="20" s="1"/>
  <c r="G25" i="8"/>
  <c r="H25" i="8" s="1"/>
  <c r="I25" i="8" s="1"/>
  <c r="G44" i="8"/>
  <c r="H44" i="8" s="1"/>
  <c r="I44" i="8" s="1"/>
  <c r="G48" i="8"/>
  <c r="H48" i="8" s="1"/>
  <c r="I48" i="8" s="1"/>
  <c r="G19" i="8"/>
  <c r="H19" i="8" s="1"/>
  <c r="I19" i="8" s="1"/>
  <c r="G35" i="8"/>
  <c r="H35" i="8" s="1"/>
  <c r="I35" i="8" s="1"/>
  <c r="G45" i="8"/>
  <c r="H45" i="8" s="1"/>
  <c r="I45" i="8" s="1"/>
  <c r="C34" i="9"/>
  <c r="C53" i="9"/>
  <c r="C57" i="9"/>
  <c r="C28" i="9"/>
  <c r="C44" i="9"/>
  <c r="F55" i="9"/>
  <c r="C54" i="9"/>
  <c r="F58" i="9"/>
  <c r="Z34" i="20" l="1"/>
  <c r="AA34" i="20" s="1"/>
  <c r="Z16" i="20"/>
  <c r="AA16" i="20" s="1"/>
  <c r="Z40" i="20"/>
  <c r="AA40" i="20" s="1"/>
  <c r="Z19" i="20"/>
  <c r="AA19" i="20" s="1"/>
  <c r="Z14" i="20"/>
  <c r="AA14" i="20" s="1"/>
  <c r="Z10" i="20"/>
  <c r="AA10" i="20" s="1"/>
  <c r="Z22" i="20"/>
  <c r="AA22" i="20" s="1"/>
  <c r="Z13" i="20"/>
  <c r="AA13" i="20" s="1"/>
  <c r="Z26" i="20"/>
  <c r="AA26" i="20" s="1"/>
  <c r="G42" i="9"/>
  <c r="G26" i="9"/>
  <c r="G32" i="9"/>
  <c r="G38" i="109"/>
  <c r="Y44" i="20" s="1"/>
  <c r="G29" i="9"/>
  <c r="C15" i="9" a="1"/>
  <c r="C15" i="9" s="1"/>
  <c r="E16" i="19" s="1"/>
  <c r="G30" i="109"/>
  <c r="Y36" i="20" s="1"/>
  <c r="G27" i="109"/>
  <c r="Y33" i="20" s="1"/>
  <c r="G18" i="109"/>
  <c r="Y24" i="20" s="1"/>
  <c r="G25" i="109"/>
  <c r="Y31" i="20" s="1"/>
  <c r="G11" i="109"/>
  <c r="J11" i="109" s="1"/>
  <c r="K11" i="109" s="1"/>
  <c r="G3" i="109"/>
  <c r="J3" i="109" s="1"/>
  <c r="G24" i="109"/>
  <c r="Y30" i="20" s="1"/>
  <c r="G23" i="109"/>
  <c r="Y29" i="20" s="1"/>
  <c r="G9" i="109"/>
  <c r="Y15" i="20" s="1"/>
  <c r="G50" i="9"/>
  <c r="G56" i="9"/>
  <c r="G30" i="9"/>
  <c r="G21" i="109"/>
  <c r="Y27" i="20" s="1"/>
  <c r="G15" i="109"/>
  <c r="Y21" i="20" s="1"/>
  <c r="G37" i="109"/>
  <c r="Y43" i="20" s="1"/>
  <c r="G26" i="109"/>
  <c r="Y32" i="20" s="1"/>
  <c r="F57" i="9"/>
  <c r="G57" i="9" s="1"/>
  <c r="F34" i="9"/>
  <c r="G34" i="9" s="1"/>
  <c r="F44" i="9"/>
  <c r="G44" i="9" s="1"/>
  <c r="F54" i="9"/>
  <c r="G32" i="109" s="1"/>
  <c r="Y38" i="20" s="1"/>
  <c r="G5" i="109"/>
  <c r="Y11" i="20" s="1"/>
  <c r="G29" i="109"/>
  <c r="Y35" i="20" s="1"/>
  <c r="F28" i="9"/>
  <c r="G28" i="9" s="1"/>
  <c r="G14" i="109"/>
  <c r="Y20" i="20" s="1"/>
  <c r="F53" i="9"/>
  <c r="G31" i="109" s="1"/>
  <c r="Y37" i="20" s="1"/>
  <c r="G38" i="9"/>
  <c r="G35" i="9"/>
  <c r="G55" i="9"/>
  <c r="G33" i="109"/>
  <c r="Y39" i="20" s="1"/>
  <c r="J34" i="109"/>
  <c r="J4" i="109"/>
  <c r="J7" i="109"/>
  <c r="J8" i="109"/>
  <c r="J10" i="109"/>
  <c r="J20" i="109"/>
  <c r="J13" i="109"/>
  <c r="G58" i="9"/>
  <c r="G36" i="109"/>
  <c r="Y42" i="20" s="1"/>
  <c r="J28" i="109"/>
  <c r="J16" i="109"/>
  <c r="F12" i="123" l="1"/>
  <c r="N11" i="112"/>
  <c r="Z42" i="20"/>
  <c r="AA42" i="20" s="1"/>
  <c r="Z35" i="20"/>
  <c r="AA35" i="20" s="1"/>
  <c r="Z21" i="20"/>
  <c r="AA21" i="20" s="1"/>
  <c r="Z33" i="20"/>
  <c r="AA33" i="20" s="1"/>
  <c r="Z44" i="20"/>
  <c r="AA44" i="20" s="1"/>
  <c r="Z39" i="20"/>
  <c r="AA39" i="20" s="1"/>
  <c r="Z37" i="20"/>
  <c r="AA37" i="20" s="1"/>
  <c r="Z11" i="20"/>
  <c r="AA11" i="20" s="1"/>
  <c r="Z27" i="20"/>
  <c r="AA27" i="20" s="1"/>
  <c r="Z15" i="20"/>
  <c r="AA15" i="20" s="1"/>
  <c r="Z36" i="20"/>
  <c r="AA36" i="20" s="1"/>
  <c r="Z20" i="20"/>
  <c r="AA20" i="20" s="1"/>
  <c r="Z29" i="20"/>
  <c r="AA29" i="20" s="1"/>
  <c r="Z31" i="20"/>
  <c r="AA31" i="20" s="1"/>
  <c r="Z38" i="20"/>
  <c r="AA38" i="20" s="1"/>
  <c r="Z32" i="20"/>
  <c r="AA32" i="20" s="1"/>
  <c r="Z43" i="20"/>
  <c r="AA43" i="20" s="1"/>
  <c r="Z30" i="20"/>
  <c r="AA30" i="20" s="1"/>
  <c r="Z24" i="20"/>
  <c r="AA24" i="20" s="1"/>
  <c r="J29" i="109"/>
  <c r="M29" i="109" s="1"/>
  <c r="J15" i="109"/>
  <c r="K15" i="109" s="1"/>
  <c r="J5" i="109"/>
  <c r="K5" i="109" s="1"/>
  <c r="J26" i="109"/>
  <c r="M26" i="109" s="1"/>
  <c r="J9" i="109"/>
  <c r="K9" i="109" s="1"/>
  <c r="J14" i="109"/>
  <c r="M14" i="109" s="1"/>
  <c r="J37" i="109"/>
  <c r="K37" i="109" s="1"/>
  <c r="J24" i="109"/>
  <c r="K24" i="109" s="1"/>
  <c r="AE26" i="20"/>
  <c r="AG26" i="20" s="1"/>
  <c r="E20" i="19"/>
  <c r="J38" i="109"/>
  <c r="G54" i="9"/>
  <c r="J21" i="109"/>
  <c r="J25" i="109"/>
  <c r="O16" i="19" a="1"/>
  <c r="O16" i="19" s="1"/>
  <c r="J23" i="109"/>
  <c r="M23" i="109" s="1"/>
  <c r="M3" i="109"/>
  <c r="N17" i="109" s="1"/>
  <c r="J27" i="109"/>
  <c r="J30" i="109"/>
  <c r="G35" i="109"/>
  <c r="Y41" i="20" s="1"/>
  <c r="M11" i="109"/>
  <c r="B12" i="123" s="1"/>
  <c r="J18" i="109"/>
  <c r="K3" i="109"/>
  <c r="G22" i="109"/>
  <c r="Y28" i="20" s="1"/>
  <c r="G53" i="9"/>
  <c r="G12" i="109"/>
  <c r="Y18" i="20" s="1"/>
  <c r="G6" i="109"/>
  <c r="Y12" i="20" s="1"/>
  <c r="K16" i="109"/>
  <c r="M16" i="109"/>
  <c r="M13" i="109"/>
  <c r="K13" i="109"/>
  <c r="K4" i="109"/>
  <c r="M4" i="109"/>
  <c r="K34" i="109"/>
  <c r="M34" i="109"/>
  <c r="J31" i="109"/>
  <c r="K28" i="109"/>
  <c r="M28" i="109"/>
  <c r="K20" i="109"/>
  <c r="M20" i="109"/>
  <c r="K7" i="109"/>
  <c r="M7" i="109"/>
  <c r="J33" i="109"/>
  <c r="J32" i="109"/>
  <c r="J36" i="109"/>
  <c r="K10" i="109"/>
  <c r="M10" i="109"/>
  <c r="K8" i="109"/>
  <c r="M8" i="109"/>
  <c r="K14" i="109" l="1"/>
  <c r="N14" i="112" s="1"/>
  <c r="M5" i="109"/>
  <c r="N5" i="109" s="1"/>
  <c r="F5" i="123"/>
  <c r="N4" i="112"/>
  <c r="F17" i="123"/>
  <c r="N16" i="112"/>
  <c r="F8" i="123"/>
  <c r="N7" i="112"/>
  <c r="F29" i="123"/>
  <c r="N28" i="112"/>
  <c r="F14" i="123"/>
  <c r="N13" i="112"/>
  <c r="F11" i="123"/>
  <c r="N10" i="112"/>
  <c r="F25" i="123"/>
  <c r="N24" i="112"/>
  <c r="F35" i="123"/>
  <c r="N34" i="112"/>
  <c r="F9" i="123"/>
  <c r="N8" i="112"/>
  <c r="F15" i="123"/>
  <c r="F21" i="123"/>
  <c r="N20" i="112"/>
  <c r="F16" i="123"/>
  <c r="N15" i="112"/>
  <c r="F10" i="123"/>
  <c r="N9" i="112"/>
  <c r="F4" i="123"/>
  <c r="N3" i="112"/>
  <c r="F38" i="123"/>
  <c r="N37" i="112"/>
  <c r="F6" i="123"/>
  <c r="N5" i="112"/>
  <c r="AF26" i="20"/>
  <c r="M9" i="109"/>
  <c r="N9" i="109" s="1"/>
  <c r="K29" i="109"/>
  <c r="K26" i="109"/>
  <c r="M37" i="109"/>
  <c r="B38" i="123" s="1"/>
  <c r="M24" i="109"/>
  <c r="N24" i="109" s="1"/>
  <c r="M15" i="109"/>
  <c r="N15" i="109" s="1"/>
  <c r="Z18" i="20"/>
  <c r="AA18" i="20" s="1"/>
  <c r="Z28" i="20"/>
  <c r="AA28" i="20" s="1"/>
  <c r="Y17" i="20"/>
  <c r="Y9" i="20" s="1"/>
  <c r="Z9" i="20" s="1"/>
  <c r="AA9" i="20" s="1"/>
  <c r="Z12" i="20"/>
  <c r="AA12" i="20" s="1"/>
  <c r="Z41" i="20"/>
  <c r="AA41" i="20" s="1"/>
  <c r="J12" i="109"/>
  <c r="K12" i="109" s="1"/>
  <c r="J22" i="109"/>
  <c r="K22" i="109" s="1"/>
  <c r="J6" i="109"/>
  <c r="M6" i="109" s="1"/>
  <c r="C24" i="19"/>
  <c r="K23" i="109"/>
  <c r="B4" i="123"/>
  <c r="K38" i="109"/>
  <c r="M38" i="109"/>
  <c r="B39" i="123" s="1"/>
  <c r="AD13" i="20"/>
  <c r="AQ13" i="20" s="1"/>
  <c r="J4" i="123"/>
  <c r="C26" i="19"/>
  <c r="E22" i="19" a="1"/>
  <c r="E22" i="19" s="1"/>
  <c r="AD16" i="20" s="1"/>
  <c r="K21" i="109"/>
  <c r="E21" i="19" a="1"/>
  <c r="E21" i="19" s="1"/>
  <c r="M21" i="109"/>
  <c r="B22" i="123" s="1"/>
  <c r="E29" i="19"/>
  <c r="C27" i="19" s="1" a="1"/>
  <c r="C27" i="19" s="1"/>
  <c r="M25" i="109"/>
  <c r="J26" i="123" s="1"/>
  <c r="K25" i="109"/>
  <c r="N3" i="109"/>
  <c r="N11" i="109"/>
  <c r="J35" i="109"/>
  <c r="K27" i="109"/>
  <c r="M27" i="109"/>
  <c r="B28" i="123" s="1"/>
  <c r="J12" i="123"/>
  <c r="M30" i="109"/>
  <c r="B31" i="123" s="1"/>
  <c r="K30" i="109"/>
  <c r="K18" i="109"/>
  <c r="M18" i="109"/>
  <c r="J19" i="123" s="1"/>
  <c r="B24" i="123"/>
  <c r="N23" i="109"/>
  <c r="J24" i="123"/>
  <c r="B15" i="123"/>
  <c r="N14" i="109"/>
  <c r="J15" i="123"/>
  <c r="K33" i="109"/>
  <c r="M33" i="109"/>
  <c r="B21" i="123"/>
  <c r="N20" i="109"/>
  <c r="J21" i="123"/>
  <c r="N10" i="109"/>
  <c r="B11" i="123"/>
  <c r="J11" i="123"/>
  <c r="B9" i="123"/>
  <c r="J9" i="123"/>
  <c r="N8" i="109"/>
  <c r="K36" i="109"/>
  <c r="M36" i="109"/>
  <c r="M32" i="109"/>
  <c r="K32" i="109"/>
  <c r="J8" i="123"/>
  <c r="N7" i="109"/>
  <c r="B8" i="123"/>
  <c r="B27" i="123"/>
  <c r="N26" i="109"/>
  <c r="J27" i="123"/>
  <c r="J35" i="123"/>
  <c r="N34" i="109"/>
  <c r="B35" i="123"/>
  <c r="B30" i="123"/>
  <c r="J30" i="123"/>
  <c r="N29" i="109"/>
  <c r="B29" i="123"/>
  <c r="J29" i="123"/>
  <c r="N28" i="109"/>
  <c r="K31" i="109"/>
  <c r="M31" i="109"/>
  <c r="J5" i="123"/>
  <c r="B5" i="123"/>
  <c r="N4" i="109"/>
  <c r="J14" i="123"/>
  <c r="N13" i="109"/>
  <c r="B14" i="123"/>
  <c r="J17" i="123"/>
  <c r="N16" i="109"/>
  <c r="B17" i="123"/>
  <c r="J25" i="123" l="1"/>
  <c r="J38" i="123"/>
  <c r="J6" i="123"/>
  <c r="B6" i="123"/>
  <c r="B25" i="123"/>
  <c r="F33" i="123"/>
  <c r="N32" i="112"/>
  <c r="F27" i="123"/>
  <c r="N26" i="112"/>
  <c r="F32" i="123"/>
  <c r="N31" i="112"/>
  <c r="F19" i="123"/>
  <c r="N18" i="112"/>
  <c r="F30" i="123"/>
  <c r="N29" i="112"/>
  <c r="F34" i="123"/>
  <c r="N33" i="112"/>
  <c r="F39" i="123"/>
  <c r="N38" i="112"/>
  <c r="F31" i="123"/>
  <c r="N30" i="112"/>
  <c r="F28" i="123"/>
  <c r="N27" i="112"/>
  <c r="F26" i="123"/>
  <c r="N25" i="112"/>
  <c r="F23" i="123"/>
  <c r="N22" i="112"/>
  <c r="F37" i="123"/>
  <c r="N36" i="112"/>
  <c r="F22" i="123"/>
  <c r="N21" i="112"/>
  <c r="F24" i="123"/>
  <c r="N23" i="112"/>
  <c r="F13" i="123"/>
  <c r="N12" i="112"/>
  <c r="C23" i="19"/>
  <c r="C28" i="19" a="1"/>
  <c r="C28" i="19" s="1"/>
  <c r="F7" i="135" a="1"/>
  <c r="F7" i="135" s="1"/>
  <c r="B10" i="123"/>
  <c r="J10" i="123"/>
  <c r="B16" i="123"/>
  <c r="K6" i="109"/>
  <c r="J16" i="123"/>
  <c r="N37" i="109"/>
  <c r="F6" i="135" a="1"/>
  <c r="F6" i="135" s="1"/>
  <c r="M12" i="109"/>
  <c r="M22" i="109"/>
  <c r="B23" i="123" s="1"/>
  <c r="Z17" i="20"/>
  <c r="AA17" i="20" s="1"/>
  <c r="AD17" i="20"/>
  <c r="AQ17" i="20" s="1"/>
  <c r="AQ16" i="20"/>
  <c r="D23" i="19"/>
  <c r="J39" i="123"/>
  <c r="N38" i="109"/>
  <c r="F4" i="135" a="1"/>
  <c r="F4" i="135" s="1"/>
  <c r="B26" i="123"/>
  <c r="N25" i="109"/>
  <c r="B19" i="123"/>
  <c r="AH16" i="20"/>
  <c r="AI16" i="20" s="1"/>
  <c r="J28" i="123"/>
  <c r="B7" i="135" a="1"/>
  <c r="B7" i="135" s="1"/>
  <c r="N21" i="109"/>
  <c r="J22" i="123"/>
  <c r="M35" i="109"/>
  <c r="N35" i="109" s="1"/>
  <c r="K35" i="109"/>
  <c r="F5" i="135" a="1"/>
  <c r="F5" i="135" s="1"/>
  <c r="N18" i="109"/>
  <c r="N27" i="109"/>
  <c r="J31" i="123"/>
  <c r="N30" i="109"/>
  <c r="N36" i="109"/>
  <c r="B37" i="123"/>
  <c r="J37" i="123"/>
  <c r="N22" i="109"/>
  <c r="B32" i="123"/>
  <c r="J32" i="123"/>
  <c r="N31" i="109"/>
  <c r="N32" i="109"/>
  <c r="J33" i="123"/>
  <c r="B33" i="123"/>
  <c r="J7" i="123"/>
  <c r="N6" i="109"/>
  <c r="B7" i="123"/>
  <c r="J34" i="123"/>
  <c r="B34" i="123"/>
  <c r="N33" i="109"/>
  <c r="B13" i="123" l="1"/>
  <c r="F7" i="123"/>
  <c r="N6" i="112"/>
  <c r="N12" i="109"/>
  <c r="F36" i="123"/>
  <c r="N35" i="112"/>
  <c r="J23" i="123"/>
  <c r="B6" i="135" a="1"/>
  <c r="B6" i="135" s="1"/>
  <c r="J13" i="123"/>
  <c r="J36" i="123"/>
  <c r="B4" i="135" a="1"/>
  <c r="B4" i="135" s="1"/>
  <c r="J7" i="135" s="1"/>
  <c r="B5" i="135" a="1"/>
  <c r="B5" i="135" s="1"/>
  <c r="B36" i="123"/>
  <c r="J5" i="135" l="1"/>
  <c r="J6" i="135"/>
  <c r="C23" i="14"/>
  <c r="C22" i="14"/>
  <c r="F11" i="14" l="1"/>
  <c r="I11" i="111" l="1"/>
  <c r="I3" i="111"/>
  <c r="G14" i="19"/>
  <c r="G20" i="19" s="1"/>
  <c r="H29" i="19" s="1"/>
  <c r="I15" i="111" l="1"/>
  <c r="I23" i="111"/>
  <c r="I9" i="111"/>
  <c r="I30" i="111"/>
  <c r="I12" i="111"/>
  <c r="I26" i="111"/>
  <c r="I32" i="111"/>
  <c r="I29" i="111"/>
  <c r="I6" i="111"/>
  <c r="I8" i="111"/>
  <c r="I31" i="111"/>
  <c r="I34" i="111"/>
  <c r="I37" i="111"/>
  <c r="I24" i="111"/>
  <c r="I13" i="111"/>
  <c r="I36" i="111"/>
  <c r="I16" i="111"/>
  <c r="I21" i="111"/>
  <c r="I22" i="111"/>
  <c r="I7" i="111"/>
  <c r="L3" i="111"/>
  <c r="J3" i="111"/>
  <c r="M3" i="111"/>
  <c r="N3" i="111"/>
  <c r="I20" i="111"/>
  <c r="I17" i="111"/>
  <c r="I28" i="111"/>
  <c r="I33" i="111"/>
  <c r="I4" i="111"/>
  <c r="I14" i="111"/>
  <c r="I25" i="111"/>
  <c r="I38" i="111"/>
  <c r="O14" i="19" a="1"/>
  <c r="O14" i="19" s="1"/>
  <c r="I10" i="111"/>
  <c r="I18" i="111"/>
  <c r="I5" i="111"/>
  <c r="I27" i="111"/>
  <c r="I35" i="111"/>
  <c r="J11" i="111"/>
  <c r="L11" i="111"/>
  <c r="M11" i="111"/>
  <c r="N11" i="111"/>
  <c r="G12" i="123" l="1"/>
  <c r="P11" i="111"/>
  <c r="G4" i="123"/>
  <c r="P3" i="111"/>
  <c r="C12" i="123"/>
  <c r="K12" i="123"/>
  <c r="L21" i="111"/>
  <c r="J21" i="111"/>
  <c r="N21" i="111"/>
  <c r="M21" i="111"/>
  <c r="N24" i="111"/>
  <c r="L24" i="111"/>
  <c r="J24" i="111"/>
  <c r="M24" i="111"/>
  <c r="M8" i="111"/>
  <c r="L8" i="111"/>
  <c r="J8" i="111"/>
  <c r="N8" i="111"/>
  <c r="L29" i="111"/>
  <c r="M29" i="111"/>
  <c r="N29" i="111"/>
  <c r="J29" i="111"/>
  <c r="L30" i="111"/>
  <c r="J30" i="111"/>
  <c r="N30" i="111"/>
  <c r="M30" i="111"/>
  <c r="N23" i="111"/>
  <c r="L23" i="111"/>
  <c r="M23" i="111"/>
  <c r="J23" i="111"/>
  <c r="G22" i="19" a="1"/>
  <c r="G22" i="19" s="1"/>
  <c r="AE15" i="20" s="1"/>
  <c r="AR15" i="20" s="1"/>
  <c r="G21" i="19" a="1"/>
  <c r="G21" i="19" s="1"/>
  <c r="E33" i="19" s="1"/>
  <c r="AE12" i="20"/>
  <c r="F24" i="19"/>
  <c r="E31" i="19"/>
  <c r="F26" i="19"/>
  <c r="J25" i="111"/>
  <c r="L25" i="111"/>
  <c r="M25" i="111"/>
  <c r="N25" i="111"/>
  <c r="J4" i="111"/>
  <c r="L4" i="111"/>
  <c r="G4" i="135" a="1"/>
  <c r="G4" i="135" s="1"/>
  <c r="G7" i="135" a="1"/>
  <c r="G7" i="135" s="1"/>
  <c r="N4" i="111"/>
  <c r="M4" i="111"/>
  <c r="L28" i="111"/>
  <c r="M28" i="111"/>
  <c r="N28" i="111"/>
  <c r="J28" i="111"/>
  <c r="L20" i="111"/>
  <c r="N20" i="111"/>
  <c r="J20" i="111"/>
  <c r="G5" i="135" a="1"/>
  <c r="G5" i="135" s="1"/>
  <c r="M20" i="111"/>
  <c r="M27" i="111"/>
  <c r="N27" i="111"/>
  <c r="L27" i="111"/>
  <c r="J27" i="111"/>
  <c r="L7" i="111"/>
  <c r="N7" i="111"/>
  <c r="M7" i="111"/>
  <c r="J7" i="111"/>
  <c r="L26" i="111"/>
  <c r="M26" i="111"/>
  <c r="N26" i="111"/>
  <c r="J26" i="111"/>
  <c r="M36" i="111"/>
  <c r="L36" i="111"/>
  <c r="J36" i="111"/>
  <c r="N36" i="111"/>
  <c r="M34" i="111"/>
  <c r="N34" i="111"/>
  <c r="J34" i="111"/>
  <c r="L34" i="111"/>
  <c r="M35" i="111"/>
  <c r="N35" i="111"/>
  <c r="J35" i="111"/>
  <c r="L35" i="111"/>
  <c r="J5" i="111"/>
  <c r="N5" i="111"/>
  <c r="L5" i="111"/>
  <c r="M5" i="111"/>
  <c r="J10" i="111"/>
  <c r="L10" i="111"/>
  <c r="N10" i="111"/>
  <c r="M10" i="111"/>
  <c r="L38" i="111"/>
  <c r="M38" i="111"/>
  <c r="J38" i="111"/>
  <c r="N38" i="111"/>
  <c r="L14" i="111"/>
  <c r="M14" i="111"/>
  <c r="N14" i="111"/>
  <c r="J14" i="111"/>
  <c r="J33" i="111"/>
  <c r="N33" i="111"/>
  <c r="L33" i="111"/>
  <c r="M33" i="111"/>
  <c r="L17" i="111"/>
  <c r="N17" i="111"/>
  <c r="M17" i="111"/>
  <c r="J17" i="111"/>
  <c r="L22" i="111"/>
  <c r="J22" i="111"/>
  <c r="N22" i="111"/>
  <c r="M22" i="111"/>
  <c r="M16" i="111"/>
  <c r="N16" i="111"/>
  <c r="L16" i="111"/>
  <c r="J16" i="111"/>
  <c r="N13" i="111"/>
  <c r="L13" i="111"/>
  <c r="M13" i="111"/>
  <c r="J13" i="111"/>
  <c r="L37" i="111"/>
  <c r="J37" i="111"/>
  <c r="N37" i="111"/>
  <c r="M37" i="111"/>
  <c r="L31" i="111"/>
  <c r="N31" i="111"/>
  <c r="M31" i="111"/>
  <c r="J31" i="111"/>
  <c r="L6" i="111"/>
  <c r="J6" i="111"/>
  <c r="N6" i="111"/>
  <c r="M6" i="111"/>
  <c r="J32" i="111"/>
  <c r="L32" i="111"/>
  <c r="N32" i="111"/>
  <c r="M32" i="111"/>
  <c r="L12" i="111"/>
  <c r="J12" i="111"/>
  <c r="N12" i="111"/>
  <c r="M12" i="111"/>
  <c r="G6" i="135" a="1"/>
  <c r="G6" i="135" s="1"/>
  <c r="L9" i="111"/>
  <c r="M9" i="111"/>
  <c r="J9" i="111"/>
  <c r="N9" i="111"/>
  <c r="M15" i="111"/>
  <c r="N15" i="111"/>
  <c r="J15" i="111"/>
  <c r="L15" i="111"/>
  <c r="N18" i="111"/>
  <c r="M18" i="111"/>
  <c r="J18" i="111"/>
  <c r="L18" i="111"/>
  <c r="C4" i="123"/>
  <c r="K4" i="123"/>
  <c r="G33" i="123" l="1"/>
  <c r="P32" i="111"/>
  <c r="G34" i="123"/>
  <c r="P33" i="111"/>
  <c r="G11" i="123"/>
  <c r="P10" i="111"/>
  <c r="G6" i="123"/>
  <c r="P5" i="111"/>
  <c r="G31" i="123"/>
  <c r="P30" i="111"/>
  <c r="G22" i="123"/>
  <c r="P21" i="111"/>
  <c r="G19" i="123"/>
  <c r="P18" i="111"/>
  <c r="G16" i="123"/>
  <c r="P15" i="111"/>
  <c r="G10" i="123"/>
  <c r="P9" i="111"/>
  <c r="G32" i="123"/>
  <c r="P31" i="111"/>
  <c r="G14" i="123"/>
  <c r="P13" i="111"/>
  <c r="G17" i="123"/>
  <c r="P16" i="111"/>
  <c r="G18" i="123"/>
  <c r="P17" i="111"/>
  <c r="G15" i="123"/>
  <c r="P14" i="111"/>
  <c r="G27" i="123"/>
  <c r="P26" i="111"/>
  <c r="G8" i="123"/>
  <c r="P7" i="111"/>
  <c r="G28" i="123"/>
  <c r="P27" i="111"/>
  <c r="G39" i="123"/>
  <c r="P38" i="111"/>
  <c r="G36" i="123"/>
  <c r="P35" i="111"/>
  <c r="G35" i="123"/>
  <c r="P34" i="111"/>
  <c r="G37" i="123"/>
  <c r="P36" i="111"/>
  <c r="G29" i="123"/>
  <c r="P28" i="111"/>
  <c r="G24" i="123"/>
  <c r="P23" i="111"/>
  <c r="G30" i="123"/>
  <c r="P29" i="111"/>
  <c r="G13" i="123"/>
  <c r="P12" i="111"/>
  <c r="G7" i="123"/>
  <c r="P6" i="111"/>
  <c r="G38" i="123"/>
  <c r="P37" i="111"/>
  <c r="G23" i="123"/>
  <c r="P22" i="111"/>
  <c r="G21" i="123"/>
  <c r="P20" i="111"/>
  <c r="G5" i="123"/>
  <c r="P4" i="111"/>
  <c r="G26" i="123"/>
  <c r="P25" i="111"/>
  <c r="G9" i="123"/>
  <c r="P8" i="111"/>
  <c r="G25" i="123"/>
  <c r="P24" i="111"/>
  <c r="F23" i="19"/>
  <c r="F28" i="19" a="1"/>
  <c r="F28" i="19" s="1"/>
  <c r="AR12" i="20"/>
  <c r="AB9" i="20"/>
  <c r="C21" i="123"/>
  <c r="K21" i="123"/>
  <c r="C5" i="135" a="1"/>
  <c r="C5" i="135" s="1"/>
  <c r="C26" i="123"/>
  <c r="K26" i="123"/>
  <c r="G23" i="19"/>
  <c r="K30" i="123"/>
  <c r="C30" i="123"/>
  <c r="AE17" i="20"/>
  <c r="AR17" i="20" s="1"/>
  <c r="AH15" i="20"/>
  <c r="AI15" i="20" s="1"/>
  <c r="K31" i="123"/>
  <c r="C31" i="123"/>
  <c r="E32" i="19"/>
  <c r="F27" i="19" a="1"/>
  <c r="F27" i="19" s="1"/>
  <c r="E34" i="19" s="1"/>
  <c r="K24" i="123"/>
  <c r="C24" i="123"/>
  <c r="K16" i="123"/>
  <c r="C16" i="123"/>
  <c r="K10" i="123"/>
  <c r="C10" i="123"/>
  <c r="C28" i="123"/>
  <c r="K28" i="123"/>
  <c r="C7" i="123"/>
  <c r="K7" i="123"/>
  <c r="C15" i="123"/>
  <c r="K15" i="123"/>
  <c r="K36" i="123"/>
  <c r="C36" i="123"/>
  <c r="C29" i="123"/>
  <c r="K29" i="123"/>
  <c r="C32" i="123"/>
  <c r="K32" i="123"/>
  <c r="C17" i="123"/>
  <c r="K17" i="123"/>
  <c r="C23" i="123"/>
  <c r="K23" i="123"/>
  <c r="C34" i="123"/>
  <c r="K34" i="123"/>
  <c r="K39" i="123"/>
  <c r="C39" i="123"/>
  <c r="C11" i="123"/>
  <c r="K11" i="123"/>
  <c r="C6" i="123"/>
  <c r="K6" i="123"/>
  <c r="K35" i="123"/>
  <c r="C35" i="123"/>
  <c r="K19" i="123"/>
  <c r="C19" i="123"/>
  <c r="C13" i="123"/>
  <c r="C6" i="135" a="1"/>
  <c r="C6" i="135" s="1"/>
  <c r="K13" i="123"/>
  <c r="K33" i="123"/>
  <c r="C33" i="123"/>
  <c r="K38" i="123"/>
  <c r="C38" i="123"/>
  <c r="C14" i="123"/>
  <c r="K14" i="123"/>
  <c r="K18" i="123"/>
  <c r="C18" i="123"/>
  <c r="C37" i="123"/>
  <c r="K37" i="123"/>
  <c r="C27" i="123"/>
  <c r="K27" i="123"/>
  <c r="C8" i="123"/>
  <c r="K8" i="123"/>
  <c r="C5" i="123"/>
  <c r="K5" i="123"/>
  <c r="C7" i="135" a="1"/>
  <c r="C7" i="135" s="1"/>
  <c r="C4" i="135" a="1"/>
  <c r="C4" i="135" s="1"/>
  <c r="C9" i="123"/>
  <c r="K9" i="123"/>
  <c r="C25" i="123"/>
  <c r="K25" i="123"/>
  <c r="C22" i="123"/>
  <c r="K22" i="123"/>
  <c r="K5" i="135" l="1"/>
  <c r="K6" i="135"/>
  <c r="AH17" i="20"/>
  <c r="K7" i="135"/>
  <c r="AF18" i="20" l="1"/>
  <c r="AS18" i="20" s="1"/>
  <c r="AF21" i="20"/>
  <c r="AS21" i="20" s="1"/>
  <c r="AG18" i="20"/>
  <c r="AT18" i="20" s="1"/>
  <c r="AD21" i="20"/>
  <c r="AQ21" i="20" s="1"/>
  <c r="AE20" i="20"/>
  <c r="AR20" i="20" s="1"/>
  <c r="AF19" i="20"/>
  <c r="AS19" i="20" s="1"/>
  <c r="AG21" i="20"/>
  <c r="AT21" i="20" s="1"/>
  <c r="AI17" i="20"/>
  <c r="AD18" i="20"/>
  <c r="AQ18" i="20" s="1"/>
  <c r="AE18" i="20"/>
  <c r="AR18" i="20" s="1"/>
  <c r="AG20" i="20"/>
  <c r="AT20" i="20" s="1"/>
  <c r="AG19" i="20"/>
  <c r="AT19" i="20" s="1"/>
  <c r="AD19" i="20"/>
  <c r="AQ19" i="20" s="1"/>
  <c r="AF20" i="20"/>
  <c r="AS20" i="20" s="1"/>
  <c r="AD20" i="20"/>
  <c r="AQ20" i="20" s="1"/>
  <c r="AE19" i="20"/>
  <c r="AR19" i="20" s="1"/>
  <c r="AE21" i="20"/>
  <c r="AR21" i="20" s="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34">
    <bk>
      <extLst>
        <ext uri="{3e2802c4-a4d2-4d8b-9148-e3be6c30e623}">
          <xlrd:rvb i="0"/>
        </ext>
      </extLst>
    </bk>
    <bk>
      <extLst>
        <ext uri="{3e2802c4-a4d2-4d8b-9148-e3be6c30e623}">
          <xlrd:rvb i="98"/>
        </ext>
      </extLst>
    </bk>
    <bk>
      <extLst>
        <ext uri="{3e2802c4-a4d2-4d8b-9148-e3be6c30e623}">
          <xlrd:rvb i="108"/>
        </ext>
      </extLst>
    </bk>
    <bk>
      <extLst>
        <ext uri="{3e2802c4-a4d2-4d8b-9148-e3be6c30e623}">
          <xlrd:rvb i="118"/>
        </ext>
      </extLst>
    </bk>
    <bk>
      <extLst>
        <ext uri="{3e2802c4-a4d2-4d8b-9148-e3be6c30e623}">
          <xlrd:rvb i="128"/>
        </ext>
      </extLst>
    </bk>
    <bk>
      <extLst>
        <ext uri="{3e2802c4-a4d2-4d8b-9148-e3be6c30e623}">
          <xlrd:rvb i="138"/>
        </ext>
      </extLst>
    </bk>
    <bk>
      <extLst>
        <ext uri="{3e2802c4-a4d2-4d8b-9148-e3be6c30e623}">
          <xlrd:rvb i="148"/>
        </ext>
      </extLst>
    </bk>
    <bk>
      <extLst>
        <ext uri="{3e2802c4-a4d2-4d8b-9148-e3be6c30e623}">
          <xlrd:rvb i="78"/>
        </ext>
      </extLst>
    </bk>
    <bk>
      <extLst>
        <ext uri="{3e2802c4-a4d2-4d8b-9148-e3be6c30e623}">
          <xlrd:rvb i="156"/>
        </ext>
      </extLst>
    </bk>
    <bk>
      <extLst>
        <ext uri="{3e2802c4-a4d2-4d8b-9148-e3be6c30e623}">
          <xlrd:rvb i="166"/>
        </ext>
      </extLst>
    </bk>
    <bk>
      <extLst>
        <ext uri="{3e2802c4-a4d2-4d8b-9148-e3be6c30e623}">
          <xlrd:rvb i="176"/>
        </ext>
      </extLst>
    </bk>
    <bk>
      <extLst>
        <ext uri="{3e2802c4-a4d2-4d8b-9148-e3be6c30e623}">
          <xlrd:rvb i="186"/>
        </ext>
      </extLst>
    </bk>
    <bk>
      <extLst>
        <ext uri="{3e2802c4-a4d2-4d8b-9148-e3be6c30e623}">
          <xlrd:rvb i="194"/>
        </ext>
      </extLst>
    </bk>
    <bk>
      <extLst>
        <ext uri="{3e2802c4-a4d2-4d8b-9148-e3be6c30e623}">
          <xlrd:rvb i="204"/>
        </ext>
      </extLst>
    </bk>
    <bk>
      <extLst>
        <ext uri="{3e2802c4-a4d2-4d8b-9148-e3be6c30e623}">
          <xlrd:rvb i="213"/>
        </ext>
      </extLst>
    </bk>
    <bk>
      <extLst>
        <ext uri="{3e2802c4-a4d2-4d8b-9148-e3be6c30e623}">
          <xlrd:rvb i="223"/>
        </ext>
      </extLst>
    </bk>
    <bk>
      <extLst>
        <ext uri="{3e2802c4-a4d2-4d8b-9148-e3be6c30e623}">
          <xlrd:rvb i="233"/>
        </ext>
      </extLst>
    </bk>
    <bk>
      <extLst>
        <ext uri="{3e2802c4-a4d2-4d8b-9148-e3be6c30e623}">
          <xlrd:rvb i="243"/>
        </ext>
      </extLst>
    </bk>
    <bk>
      <extLst>
        <ext uri="{3e2802c4-a4d2-4d8b-9148-e3be6c30e623}">
          <xlrd:rvb i="253"/>
        </ext>
      </extLst>
    </bk>
    <bk>
      <extLst>
        <ext uri="{3e2802c4-a4d2-4d8b-9148-e3be6c30e623}">
          <xlrd:rvb i="263"/>
        </ext>
      </extLst>
    </bk>
    <bk>
      <extLst>
        <ext uri="{3e2802c4-a4d2-4d8b-9148-e3be6c30e623}">
          <xlrd:rvb i="273"/>
        </ext>
      </extLst>
    </bk>
    <bk>
      <extLst>
        <ext uri="{3e2802c4-a4d2-4d8b-9148-e3be6c30e623}">
          <xlrd:rvb i="282"/>
        </ext>
      </extLst>
    </bk>
    <bk>
      <extLst>
        <ext uri="{3e2802c4-a4d2-4d8b-9148-e3be6c30e623}">
          <xlrd:rvb i="290"/>
        </ext>
      </extLst>
    </bk>
    <bk>
      <extLst>
        <ext uri="{3e2802c4-a4d2-4d8b-9148-e3be6c30e623}">
          <xlrd:rvb i="299"/>
        </ext>
      </extLst>
    </bk>
    <bk>
      <extLst>
        <ext uri="{3e2802c4-a4d2-4d8b-9148-e3be6c30e623}">
          <xlrd:rvb i="309"/>
        </ext>
      </extLst>
    </bk>
    <bk>
      <extLst>
        <ext uri="{3e2802c4-a4d2-4d8b-9148-e3be6c30e623}">
          <xlrd:rvb i="318"/>
        </ext>
      </extLst>
    </bk>
    <bk>
      <extLst>
        <ext uri="{3e2802c4-a4d2-4d8b-9148-e3be6c30e623}">
          <xlrd:rvb i="328"/>
        </ext>
      </extLst>
    </bk>
    <bk>
      <extLst>
        <ext uri="{3e2802c4-a4d2-4d8b-9148-e3be6c30e623}">
          <xlrd:rvb i="338"/>
        </ext>
      </extLst>
    </bk>
    <bk>
      <extLst>
        <ext uri="{3e2802c4-a4d2-4d8b-9148-e3be6c30e623}">
          <xlrd:rvb i="348"/>
        </ext>
      </extLst>
    </bk>
    <bk>
      <extLst>
        <ext uri="{3e2802c4-a4d2-4d8b-9148-e3be6c30e623}">
          <xlrd:rvb i="358"/>
        </ext>
      </extLst>
    </bk>
    <bk>
      <extLst>
        <ext uri="{3e2802c4-a4d2-4d8b-9148-e3be6c30e623}">
          <xlrd:rvb i="368"/>
        </ext>
      </extLst>
    </bk>
    <bk>
      <extLst>
        <ext uri="{3e2802c4-a4d2-4d8b-9148-e3be6c30e623}">
          <xlrd:rvb i="378"/>
        </ext>
      </extLst>
    </bk>
    <bk>
      <extLst>
        <ext uri="{3e2802c4-a4d2-4d8b-9148-e3be6c30e623}">
          <xlrd:rvb i="388"/>
        </ext>
      </extLst>
    </bk>
    <bk>
      <extLst>
        <ext uri="{3e2802c4-a4d2-4d8b-9148-e3be6c30e623}">
          <xlrd:rvb i="396"/>
        </ext>
      </extLst>
    </bk>
  </futureMetadata>
  <cellMetadata count="1">
    <bk>
      <rc t="1" v="0"/>
    </bk>
  </cellMetadata>
  <valueMetadata count="34">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bk>
      <rc t="2" v="21"/>
    </bk>
    <bk>
      <rc t="2" v="22"/>
    </bk>
    <bk>
      <rc t="2" v="23"/>
    </bk>
    <bk>
      <rc t="2" v="24"/>
    </bk>
    <bk>
      <rc t="2" v="25"/>
    </bk>
    <bk>
      <rc t="2" v="26"/>
    </bk>
    <bk>
      <rc t="2" v="27"/>
    </bk>
    <bk>
      <rc t="2" v="28"/>
    </bk>
    <bk>
      <rc t="2" v="29"/>
    </bk>
    <bk>
      <rc t="2" v="30"/>
    </bk>
    <bk>
      <rc t="2" v="31"/>
    </bk>
    <bk>
      <rc t="2" v="32"/>
    </bk>
    <bk>
      <rc t="2" v="33"/>
    </bk>
  </valueMetadata>
</metadata>
</file>

<file path=xl/sharedStrings.xml><?xml version="1.0" encoding="utf-8"?>
<sst xmlns="http://schemas.openxmlformats.org/spreadsheetml/2006/main" count="2949" uniqueCount="1139">
  <si>
    <t>Paramètres</t>
  </si>
  <si>
    <t>Table des matières</t>
  </si>
  <si>
    <t>Coûts privés</t>
  </si>
  <si>
    <t>Achat, entretien, utilisation d'un véhicule</t>
  </si>
  <si>
    <t>Stationnement</t>
  </si>
  <si>
    <t>Utilisation des services de transport en commun</t>
  </si>
  <si>
    <t>Contraventions</t>
  </si>
  <si>
    <t>Temps de déplacement</t>
  </si>
  <si>
    <t>Résultats</t>
  </si>
  <si>
    <t>Finaux</t>
  </si>
  <si>
    <t>Auto</t>
  </si>
  <si>
    <t>Transport en commun</t>
  </si>
  <si>
    <t>Vélo</t>
  </si>
  <si>
    <t>Marche</t>
  </si>
  <si>
    <t>Coûts indirects</t>
  </si>
  <si>
    <t>Budget de la Ville de Montréal</t>
  </si>
  <si>
    <t>Budgets provinciales et fédérales</t>
  </si>
  <si>
    <t>Budget ARTM</t>
  </si>
  <si>
    <t>Coûts et bénéfices cachés</t>
  </si>
  <si>
    <t>Gaz à effet de serre</t>
  </si>
  <si>
    <t>Congestion routières</t>
  </si>
  <si>
    <t>Accidents de la route</t>
  </si>
  <si>
    <t>Emprise spatiale</t>
  </si>
  <si>
    <t>Santé</t>
  </si>
  <si>
    <t>Catégories</t>
  </si>
  <si>
    <t xml:space="preserve">Permis, immatriculation &amp; taxes </t>
  </si>
  <si>
    <t>Achat et utilisation d'un véhicule</t>
  </si>
  <si>
    <t>Permis, immatriculation et taxes</t>
  </si>
  <si>
    <t>Provincial</t>
  </si>
  <si>
    <t>Fédéral</t>
  </si>
  <si>
    <t>Municipal</t>
  </si>
  <si>
    <t>Déneigement</t>
  </si>
  <si>
    <t>Utilisation des transport en commun</t>
  </si>
  <si>
    <t>Fonctionnement du transport en commun</t>
  </si>
  <si>
    <t>Privés</t>
  </si>
  <si>
    <t>Indirect</t>
  </si>
  <si>
    <t>Cachés</t>
  </si>
  <si>
    <t>GES</t>
  </si>
  <si>
    <t>Congestions</t>
  </si>
  <si>
    <t>Indirects</t>
  </si>
  <si>
    <t>Total</t>
  </si>
  <si>
    <t>TOTAL</t>
  </si>
  <si>
    <t>TEC</t>
  </si>
  <si>
    <t>Acquisition et installation d'équipements spécialisés et mise en place de nouveaux procédés</t>
  </si>
  <si>
    <t>Programme de maintien des infrastructures routières</t>
  </si>
  <si>
    <t>Programme d'aménagement des rues - Local</t>
  </si>
  <si>
    <t>Programme d'acquisition de mobilier d'éclairage</t>
  </si>
  <si>
    <t>Mise à niveau de l'éclairage des rues</t>
  </si>
  <si>
    <t>Programme complémentaire de planage-revêtement - Local</t>
  </si>
  <si>
    <t>Aménagement du domaine public - Vieux-Montréal</t>
  </si>
  <si>
    <t>Site Outremont et ses abords</t>
  </si>
  <si>
    <t>Requalification des abords de l'autoroute Ville-Marie</t>
  </si>
  <si>
    <t>Complexe Turcot</t>
  </si>
  <si>
    <t>Reconstruction du boulevard Pie-IX pour SRB - Portion Ville</t>
  </si>
  <si>
    <t>Réseau express métropolitain (REM) - Accompagnement de la Caisse de dépôt et de placement - Travaux incidents</t>
  </si>
  <si>
    <t>Véloroutes - Accompagnement REM</t>
  </si>
  <si>
    <t>Maintien et amélioration de l'actif de feux de circulation</t>
  </si>
  <si>
    <t>Programme d'aménagement des rues - Artériel</t>
  </si>
  <si>
    <t>Vision Zéro : Mise en oeuvre des mesures de sécurisation</t>
  </si>
  <si>
    <t>Acquisition et installation de bornes de recharge pour véhicules électriques</t>
  </si>
  <si>
    <t>Remplacement du pont Jacques-Bizard</t>
  </si>
  <si>
    <t>PPU Quartier des gares - Aménagement du domaine public</t>
  </si>
  <si>
    <t>Raccordement du boulevard Cavendish</t>
  </si>
  <si>
    <t>Réaménagement de l'intersection Côte-des-Neiges-Remembrance</t>
  </si>
  <si>
    <t>Réaménagement de l'avenue des Pins</t>
  </si>
  <si>
    <t>Réaménagement de la voie Camillien-Houde et du chemin Remembrance</t>
  </si>
  <si>
    <t>Réaménagement de la rue Peel</t>
  </si>
  <si>
    <t>Part modale</t>
  </si>
  <si>
    <t>Disponible ici</t>
  </si>
  <si>
    <t xml:space="preserve">Ces données proviennent du rapport: </t>
  </si>
  <si>
    <t>Lefebvre-Ropars, G., Morency, C. et Negron-Poblete, P. (2021) Caractérisation du partage de la voirie à Montréal :
Note de recherche, Polytechnique Montréal, 15 pages.</t>
  </si>
  <si>
    <t>Baie-D'Urfé</t>
  </si>
  <si>
    <t>Beaconsfield</t>
  </si>
  <si>
    <t>Côte-Saint-Luc</t>
  </si>
  <si>
    <t>Dollard-des-Ormeaux</t>
  </si>
  <si>
    <t>Dorval</t>
  </si>
  <si>
    <t>Hampstead</t>
  </si>
  <si>
    <t>Kirkland</t>
  </si>
  <si>
    <t>Mont-Royal</t>
  </si>
  <si>
    <t>Montréal</t>
  </si>
  <si>
    <t>Montréal-Est</t>
  </si>
  <si>
    <t>Montréal-Ouest</t>
  </si>
  <si>
    <t>Pointe-Claire</t>
  </si>
  <si>
    <t>Sainte-Anne-de-Bellevue</t>
  </si>
  <si>
    <t>Senneville</t>
  </si>
  <si>
    <t>Westmount</t>
  </si>
  <si>
    <t>Dorval &amp; Île Dorval</t>
  </si>
  <si>
    <t>Population &amp; Superficie</t>
  </si>
  <si>
    <t>Ces données sont tirées du répertoire des municipalités</t>
  </si>
  <si>
    <t xml:space="preserve">Disponible ici </t>
  </si>
  <si>
    <t>Superficie (km2)</t>
  </si>
  <si>
    <t xml:space="preserve">Population du Québec </t>
  </si>
  <si>
    <t>Le dénombrement est basé sur des estimations faites par l'Institut de la statistique du Québec en date du 1er juillet 2023.</t>
  </si>
  <si>
    <t>Contraventions de stationnement et de circulation émises par le SPVM en 2022</t>
  </si>
  <si>
    <t>Cyclistes</t>
  </si>
  <si>
    <t>Piétons</t>
  </si>
  <si>
    <t>Véhicules à moteur</t>
  </si>
  <si>
    <t>Vitesse</t>
  </si>
  <si>
    <t>En mouvement</t>
  </si>
  <si>
    <t>Autres (SRPI)</t>
  </si>
  <si>
    <t>Ces données proviennent du SPVM</t>
  </si>
  <si>
    <t xml:space="preserve">Données vélo </t>
  </si>
  <si>
    <t xml:space="preserve">Piste cyclable </t>
  </si>
  <si>
    <t>km</t>
  </si>
  <si>
    <t>Province - toutes pistes et voies cyclables</t>
  </si>
  <si>
    <t>Ile de Montréal - toutes pistes et voies cyclables</t>
  </si>
  <si>
    <t>Province - Route verte</t>
  </si>
  <si>
    <t>Montréal - route verte</t>
  </si>
  <si>
    <t>État du vélo 2020</t>
  </si>
  <si>
    <t>Nb de cycliste au Québec</t>
  </si>
  <si>
    <t>Nb de cycliste à Montréal</t>
  </si>
  <si>
    <t>Nb de cyliste utilitaire (1 fois et + par semaine) au Québec</t>
  </si>
  <si>
    <t>Nb de cyliste utilitaire (1 fois et + par semaine) à Montréal</t>
  </si>
  <si>
    <t>Rétention des cyclistes l'hiver à Montréal</t>
  </si>
  <si>
    <t>Ces données proviennent du l'État du Vélo 2020 par Vélo Québec</t>
  </si>
  <si>
    <t>$/km2</t>
  </si>
  <si>
    <t>Ces données proviennent du Ministère de l'Habitation</t>
  </si>
  <si>
    <t>Mortelle</t>
  </si>
  <si>
    <t>Grave</t>
  </si>
  <si>
    <t>Léger</t>
  </si>
  <si>
    <t>Matériel seulement</t>
  </si>
  <si>
    <t>Automobile ou camion léger</t>
  </si>
  <si>
    <t>Autobus ou minibus</t>
  </si>
  <si>
    <t>Autobus scolaire</t>
  </si>
  <si>
    <t>Taxi</t>
  </si>
  <si>
    <t>Camion lourd</t>
  </si>
  <si>
    <t>Tracteur routier</t>
  </si>
  <si>
    <t>Véhicule-outil ou d'équipement</t>
  </si>
  <si>
    <t>Motocyclette</t>
  </si>
  <si>
    <t>Cyclomoteur</t>
  </si>
  <si>
    <t>Motoneige</t>
  </si>
  <si>
    <t>Véhicule hors route</t>
  </si>
  <si>
    <t>Bicyclette</t>
  </si>
  <si>
    <t>Autres véhicules</t>
  </si>
  <si>
    <t>Piéton</t>
  </si>
  <si>
    <t>Non précisé</t>
  </si>
  <si>
    <t>Total en $ (MCH)</t>
  </si>
  <si>
    <t>Total en $ (MDP)</t>
  </si>
  <si>
    <t>Les données des accidents de la route proviennent de la SAAQ tiré de la Banque de données des statistiques officielles sur le Québec</t>
  </si>
  <si>
    <t>Automobile</t>
  </si>
  <si>
    <t>Salaire horaire médian pour la Région administrative de Montréal</t>
  </si>
  <si>
    <t>Nombre de jour de travail par année</t>
  </si>
  <si>
    <t>Le salaire médian provient de l'Institut des statistiques du Québec</t>
  </si>
  <si>
    <t>Congestion</t>
  </si>
  <si>
    <t>Bus</t>
  </si>
  <si>
    <t>Retards</t>
  </si>
  <si>
    <t>Carburants supplémentaire</t>
  </si>
  <si>
    <t>GES supplémentaire</t>
  </si>
  <si>
    <t>Supplémentaires d’utilisation des véhicules, sauf le carburant</t>
  </si>
  <si>
    <t>Inflation 2008 à 2023 (Banque du Canada)</t>
  </si>
  <si>
    <t>Ces données proviennnent du rapport Évaluation des coûts de la congestion routière dans la région de Montréal pour les conditions de référence 2008</t>
  </si>
  <si>
    <t>Budget de la Ville de Montréal p.149</t>
  </si>
  <si>
    <t>Coût total des contraventions pour circulation et stationnement (2022)</t>
  </si>
  <si>
    <t xml:space="preserve">Coût des contraventions pour circulation et stationnement </t>
  </si>
  <si>
    <t>Ahuntsic-Cartierville</t>
  </si>
  <si>
    <t>Anjou</t>
  </si>
  <si>
    <t>Côte-des-Neiges–Notre-Dame-de-Grâce</t>
  </si>
  <si>
    <t>Chaussée désignée</t>
  </si>
  <si>
    <t xml:space="preserve"> Bande cyclable</t>
  </si>
  <si>
    <t>Piste cyclable sur rue</t>
  </si>
  <si>
    <t>Piste cyclable en site propre</t>
  </si>
  <si>
    <t>Piste cyclable au niveau du trottoir</t>
  </si>
  <si>
    <t>Sentier polyvalent</t>
  </si>
  <si>
    <t>Vélorue</t>
  </si>
  <si>
    <t>Voie partagée Bus-Vélo</t>
  </si>
  <si>
    <t>Pistes cyclables (km)</t>
  </si>
  <si>
    <t>Ville de Montréal</t>
  </si>
  <si>
    <t>LaSalle</t>
  </si>
  <si>
    <t>Lachine</t>
  </si>
  <si>
    <t>Le Sud-Ouest</t>
  </si>
  <si>
    <t>Mercier–Hochelaga-Maisonneuve</t>
  </si>
  <si>
    <t>Montréal-Nord</t>
  </si>
  <si>
    <t>Outremont</t>
  </si>
  <si>
    <t>Pierrefonds-Roxboro</t>
  </si>
  <si>
    <t>Rivière-des-Prairies–Pointe-aux-Trembles</t>
  </si>
  <si>
    <t>Rosemont–La Petite-Patrie</t>
  </si>
  <si>
    <t>Saint-Laurent</t>
  </si>
  <si>
    <t>Saint-Léonard</t>
  </si>
  <si>
    <t>Ville-Marie</t>
  </si>
  <si>
    <t>Villeray–Saint-Michel–Parc-Extension</t>
  </si>
  <si>
    <t>Données ouvertes provenant du site de la Ville de Montéal et analysé par Lucie Maude Fournier</t>
  </si>
  <si>
    <t>Émission de GES (en kt éq. Co2)</t>
  </si>
  <si>
    <t>Coût de la pollution ($ de 2023)</t>
  </si>
  <si>
    <t>Données pour la STM</t>
  </si>
  <si>
    <t>Le coût de la pollution nous provient du rapport du Ministère des Transport sur les analyse de coût-bénéfice en transport</t>
  </si>
  <si>
    <t xml:space="preserve">    </t>
  </si>
  <si>
    <t>Bénéfices de l'activité physique sur la santé</t>
  </si>
  <si>
    <t>Valeur d'une vie humaine (méthode du capital humain)</t>
  </si>
  <si>
    <t>Valeur d'une vie humaine (méthode de la disposition à payer)</t>
  </si>
  <si>
    <t>Paramètres Méthode HEAT</t>
  </si>
  <si>
    <t>Ces données proviennent de la simulation Health Economic Assessment Tool (HEAT) de l'Organisme mondial pour la santé (OMS)</t>
  </si>
  <si>
    <t>Les données de la STM proviennent de leur rapport sur la mobilité des Montréalais en 2016</t>
  </si>
  <si>
    <t xml:space="preserve">Pour 1$ dépensé directement par les automobilistes		</t>
  </si>
  <si>
    <t xml:space="preserve">Pour 1$ dépensé directement par les usagers des transports en commun		</t>
  </si>
  <si>
    <t xml:space="preserve">Pour 1$ dépensé directement par les cyclistes utilitaires		</t>
  </si>
  <si>
    <t xml:space="preserve">Pour 1$ dépensé directement par les marcheurs		</t>
  </si>
  <si>
    <t xml:space="preserve">$ est payé collectivement	</t>
  </si>
  <si>
    <t>Transport - dépenses annuelles moyennes des ménages, 2016</t>
  </si>
  <si>
    <t>Essence et autres carburants</t>
  </si>
  <si>
    <t>Batteries, pneus et autres pièces</t>
  </si>
  <si>
    <t>Primes d’assurance</t>
  </si>
  <si>
    <t>Autres dépenses</t>
  </si>
  <si>
    <t>Agglomération de Montréal</t>
  </si>
  <si>
    <t>Nombre de ménage dans l'Agglomération de Montréal (2016)</t>
  </si>
  <si>
    <t>Nombre de ménage dans l'Agglomération de Montréal (2023)</t>
  </si>
  <si>
    <t>Taux d'inflation 2016 à 2023</t>
  </si>
  <si>
    <t>Les données du nombre de ménages en 2023 provient de la  Projections de ménages - Régions administratives et régions métropolitaines (RMR) de l'Institut de la statistique du Québec</t>
  </si>
  <si>
    <t>Les données des dépenses des ménages proviennent de du portrat des dépenses annuelles moyennes des ménages des villes et arrondissements de l’agglomération de Montréal par la Ville de Montréal en 2016</t>
  </si>
  <si>
    <t>Achat et entretien (vélos et accessoires</t>
  </si>
  <si>
    <t>Province du Québec</t>
  </si>
  <si>
    <t>Nombre de cycliste au Québec en 2020</t>
  </si>
  <si>
    <t>Nombre de cycliste à Montréal en 2020</t>
  </si>
  <si>
    <t>Taxe sur le stationnement</t>
  </si>
  <si>
    <t>Taxe relative à la voirie</t>
  </si>
  <si>
    <t xml:space="preserve">Taxe relative au financement de la contribution ARTM </t>
  </si>
  <si>
    <t>Taxes et paiements tenant lieux de taxes - Ville de Montréal</t>
  </si>
  <si>
    <t>Revenus et dépenses du Fonds des réseaux de transport terrestre (MTMD)</t>
  </si>
  <si>
    <t>Taxes sur les carburants</t>
  </si>
  <si>
    <t>2022 (QC)</t>
  </si>
  <si>
    <t>2022 (Agglo. MTL)</t>
  </si>
  <si>
    <t>Contribution d'assurance de la SAAQ</t>
  </si>
  <si>
    <t>Permis de conduire</t>
  </si>
  <si>
    <t>Immatriculation</t>
  </si>
  <si>
    <t>Les taxes de la Ville de Montréal proviennent de leur Budget 2023 p.139</t>
  </si>
  <si>
    <t>Droits d'immatriculation et permis de conduire</t>
  </si>
  <si>
    <t>Taxes de vente</t>
  </si>
  <si>
    <t>Gestion de l’accès sécuritaire au réseau routier - Services tarifiés</t>
  </si>
  <si>
    <t>Remarques</t>
  </si>
  <si>
    <t>Activités de fonctionnement SAAQ</t>
  </si>
  <si>
    <t>Contôle routier - Droits perçus</t>
  </si>
  <si>
    <t>Gestion des amendes impayés</t>
  </si>
  <si>
    <t xml:space="preserve">Taxes sur l'immatriculation des véhicules de promenade </t>
  </si>
  <si>
    <t>Contributions des automobilistes au transport en commun</t>
  </si>
  <si>
    <t>Droits pour vignettes de stationnement</t>
  </si>
  <si>
    <t>Payés par les propriétaires d'immeuble et vise les espaces de stationnements situés dans les immeubles non résidentiels</t>
  </si>
  <si>
    <t>Payés par les propriétaires d'immeuble pour le financement des routes</t>
  </si>
  <si>
    <t>Payés par les propriétaires d'immeubles pour le financement du transport en commun</t>
  </si>
  <si>
    <t>Les données de la taxe sur le carburants proviennent du Rapport annuel de gestion 2022-2023 du MTDM p.52</t>
  </si>
  <si>
    <t>La contribution d'assurance, permis et immatriculation de la SAAQ provient de leur Rapport annuel de gestion 2022 p. 58, 89-93</t>
  </si>
  <si>
    <t>Indemnités versées</t>
  </si>
  <si>
    <t xml:space="preserve">Pour les statistiques sur les permis de conduire proviennent du BILAN ROUTIER, PARC AUTOMOBILE ET PERMIS DE CONDUIRE par la SAAQ </t>
  </si>
  <si>
    <t>Gardé par la SAAQ pour payés les indemnités, % de permis à Montréal</t>
  </si>
  <si>
    <t>Gardé par la SAAQ pour payés les indemnités, % de véhicule à Montréal</t>
  </si>
  <si>
    <t>Perçues pour le gouvernement du Québec,  % de véhicule à Montréal</t>
  </si>
  <si>
    <t>Perçus pour le gouvernement du Québec,  % de véhicule à Montréal</t>
  </si>
  <si>
    <t>Gardé par la SAAQ, Moyenne entre % de permis et véhicule</t>
  </si>
  <si>
    <t>Perçus pour le gouvernement du Québec et conservés pour le financement de charges, Moyenne entre % de permis et véhicule</t>
  </si>
  <si>
    <t>Perçus pour le gouvernement du Québec, Moyenne entre % de permis et véhicule</t>
  </si>
  <si>
    <t>Perçus pour la Société de financement des infrastructures locales, Moyenne entre % de permis et véhicule</t>
  </si>
  <si>
    <t>Perçus pour d’autres gouvernements, Moyenne entre % de permis et véhicule</t>
  </si>
  <si>
    <t>Perçus pour le gouvernement du Québec,Moyenne entre % de permis et véhicule</t>
  </si>
  <si>
    <t>% représenté par MTL</t>
  </si>
  <si>
    <t>N'est pas ajouter dans le calcul final puisque déjà considéré dans les budgets de la ville et de la ARTM</t>
  </si>
  <si>
    <t>Utilisation des transports en commun</t>
  </si>
  <si>
    <t>Revenus tarifaires</t>
  </si>
  <si>
    <t>Revenus total</t>
  </si>
  <si>
    <t>Privé</t>
  </si>
  <si>
    <t>N/A</t>
  </si>
  <si>
    <t>Contribution pour le transport en commun</t>
  </si>
  <si>
    <t xml:space="preserve"> (QC)</t>
  </si>
  <si>
    <t>(Agglo. MTL)</t>
  </si>
  <si>
    <t>Nombre de titulaire de permis de conduire (2021)</t>
  </si>
  <si>
    <t>aussi ici</t>
  </si>
  <si>
    <t>Nombre de véhicule (automobile ou camion léger) de promenade en circulation (2021)</t>
  </si>
  <si>
    <t xml:space="preserve">Nombre d'accidents total tous types(2021) </t>
  </si>
  <si>
    <t>Budget du fédéral et du provincial</t>
  </si>
  <si>
    <t>Ponts Jacques cartier et champlain</t>
  </si>
  <si>
    <t>Pont Jacques-Cartier</t>
  </si>
  <si>
    <t>Pont Champlain d'origine - déconstruction</t>
  </si>
  <si>
    <t>Estacade</t>
  </si>
  <si>
    <t>Autoroute Bonaventure</t>
  </si>
  <si>
    <t>Pont Honoré-Mercier</t>
  </si>
  <si>
    <t>Les données fédérales proviennent du rapport annuel de la société des ponts du Canada</t>
  </si>
  <si>
    <t xml:space="preserve">Plan québécois des infrastructures </t>
  </si>
  <si>
    <t>Maintien du parc</t>
  </si>
  <si>
    <t>Bonification du parc</t>
  </si>
  <si>
    <t>par année</t>
  </si>
  <si>
    <t>Les données provinciales proviennent du Plan québécois des infrastructures 2023-2033 Annexe 3</t>
  </si>
  <si>
    <t>Politique de mobilité durable – 2030</t>
  </si>
  <si>
    <t>2018-2023</t>
  </si>
  <si>
    <t xml:space="preserve">Route Verte </t>
  </si>
  <si>
    <t>Programme d'aide financière à la conservation des infrastructures de transport actif</t>
  </si>
  <si>
    <t>Les données pour la route verte et le CITA proviennent du plan d'action de la MTMD</t>
  </si>
  <si>
    <t>Les données proviennent des budgets de la Ville de Montréal</t>
  </si>
  <si>
    <t xml:space="preserve">2023-2033 auto </t>
  </si>
  <si>
    <t>par année auto</t>
  </si>
  <si>
    <t xml:space="preserve">2023-2033 TC </t>
  </si>
  <si>
    <t>Données pour la Ville de Montréal (Agglomération de Montréal)</t>
  </si>
  <si>
    <t>Prix par catégorie (indemnités)</t>
  </si>
  <si>
    <t>Les données d'indemnités proviennent du tableau des indemnités 2024 de la SAAQ</t>
  </si>
  <si>
    <t>Km2 pour piste cyclable seulemement (si 1.5m de largeur)</t>
  </si>
  <si>
    <t>Par cycliste</t>
  </si>
  <si>
    <t>Achat d'un véhicule par personne</t>
  </si>
  <si>
    <t>Dorval et Ile Dorval</t>
  </si>
  <si>
    <t>Dorval et l'Île Dorval</t>
  </si>
  <si>
    <t>Taux d'inflation 2020 à 2023</t>
  </si>
  <si>
    <t>Fixe par habitant</t>
  </si>
  <si>
    <t>Variable selon ville</t>
  </si>
  <si>
    <t>Variable selon temps de déplacement</t>
  </si>
  <si>
    <t>Coût par habitant</t>
  </si>
  <si>
    <t>Ville</t>
  </si>
  <si>
    <t>Charges 2022 ($)</t>
  </si>
  <si>
    <t>Voirie municipale</t>
  </si>
  <si>
    <t>Enlèvement de la neige</t>
  </si>
  <si>
    <t>Eclairage des rues</t>
  </si>
  <si>
    <t>Circulation et stationnement</t>
  </si>
  <si>
    <t>Transport collectif</t>
  </si>
  <si>
    <t>Ces données proviennent du Enquête Origine-Destination 2018 et compilées par l'Observatoire Grand Montréal de la CMM</t>
  </si>
  <si>
    <t>Les données choisies sont pour les déplacements produits par la région pour les automobiles, le transport en commun public, le vélo et la marche</t>
  </si>
  <si>
    <t>Par personne</t>
  </si>
  <si>
    <t>Total Voirie</t>
  </si>
  <si>
    <t>Par personne Voirie</t>
  </si>
  <si>
    <t>Total Déneigement</t>
  </si>
  <si>
    <t>Par personne Déneigement</t>
  </si>
  <si>
    <t>Budgets des villes de l'Agglomération</t>
  </si>
  <si>
    <t>Ville:</t>
  </si>
  <si>
    <t>Coût privé par personne scénario</t>
  </si>
  <si>
    <t>Scénario</t>
  </si>
  <si>
    <t>Voirie  - par personne</t>
  </si>
  <si>
    <t>Déneigement - par personne</t>
  </si>
  <si>
    <t>par personne</t>
  </si>
  <si>
    <t>Auto par personne</t>
  </si>
  <si>
    <t>Fédéral par personne</t>
  </si>
  <si>
    <t>Provincial par personne</t>
  </si>
  <si>
    <t>Bénéfice par année ($) (scénario choisi) - par personne</t>
  </si>
  <si>
    <t>Taux horaire</t>
  </si>
  <si>
    <t>Perçues pour la Ville de Montréal, pour le transport en commun</t>
  </si>
  <si>
    <t>Auto par logis</t>
  </si>
  <si>
    <t>auto / personne</t>
  </si>
  <si>
    <t>2022 (par personne)</t>
  </si>
  <si>
    <t>Permis</t>
  </si>
  <si>
    <t>En temps normal pour un conducteur sans point d'inaptitude et avec un véhicule de classe 5 à Montréal</t>
  </si>
  <si>
    <t>Nombre d'auto par permis</t>
  </si>
  <si>
    <t>Nombre de véhicule de promenade vs total</t>
  </si>
  <si>
    <t>Nombre de véhicules en ciculation (tous véhicules) (2021)</t>
  </si>
  <si>
    <t>Perçus à la pompe, % des auto à Montréal, % d'auto par personne</t>
  </si>
  <si>
    <t>Ne dépend pas de la  part modale</t>
  </si>
  <si>
    <t>Temps de déplacement pour rejoindre STM (h)</t>
  </si>
  <si>
    <t>Nombre de déplacements (2022)</t>
  </si>
  <si>
    <t>Nombre de déplacements (2019)</t>
  </si>
  <si>
    <t>Nombre de déplacements (2018)</t>
  </si>
  <si>
    <t xml:space="preserve">Part modale </t>
  </si>
  <si>
    <t>Population 2008</t>
  </si>
  <si>
    <t>Inversement proportionnel à la part modale (moins de part modale - plus cher, ou plus de part modale - moins cher)</t>
  </si>
  <si>
    <t>Proportionnel à la part modal (plus de part modale - plus cher, moins de part modale - moins cher )</t>
  </si>
  <si>
    <t>Coût par utilisateur</t>
  </si>
  <si>
    <t>Personne (20-64 ans)par logis</t>
  </si>
  <si>
    <t>A</t>
  </si>
  <si>
    <t>M</t>
  </si>
  <si>
    <t>Agglomération</t>
  </si>
  <si>
    <t>Plateau-Mont-Royal</t>
  </si>
  <si>
    <t>Sud-Ouest</t>
  </si>
  <si>
    <t>Réaménagement-Jean-Talon, entre 22e avenue et le boul Langelier</t>
  </si>
  <si>
    <t>Vélo : Développement et optimisation du système de vélo en libre-s ervice BIXI</t>
  </si>
  <si>
    <t>Plan lumière</t>
  </si>
  <si>
    <t>Mise en valeur de la cité administrative</t>
  </si>
  <si>
    <t>PPU Griffintown</t>
  </si>
  <si>
    <t>Louvain Est</t>
  </si>
  <si>
    <t>Acquisitions stratégiques dans les secteurs de planification</t>
  </si>
  <si>
    <t>Pôle Gérald-Godin</t>
  </si>
  <si>
    <t>Ateliers du CN (Cours Saint-Charles)</t>
  </si>
  <si>
    <t>Reconstruction du Pont de l'île-aux-Tourtes - Accompagnement MTQ ( Lien Cyclable)</t>
  </si>
  <si>
    <t>Lien transport collectif et actif de l'Ouest - Accompagnement REM</t>
  </si>
  <si>
    <t>Réfection des tunnels Ville-Marie et Viger - Accompagnement MTQ</t>
  </si>
  <si>
    <t>Gestion de corridors de mobilité intégrée</t>
  </si>
  <si>
    <t>Système de gestion des données de la circulation routière (SGDCR)</t>
  </si>
  <si>
    <t>Prolongement de l'avenue Souligny et du boulevard de l'Assomption - Nouvel accès au port</t>
  </si>
  <si>
    <t>Projet Sussex/Tupper (abords ancien site de l'Hôpital de Montréal pour enfants)</t>
  </si>
  <si>
    <t>Réaménagement - Rue Sainte-Catherine Ouest - Phase 1:De Bleury à M ansfield et Square Philips</t>
  </si>
  <si>
    <t>Rue Sainte-Catherine Ouest - Phase 2 : Réaménagement - Mansfield à  Atwater</t>
  </si>
  <si>
    <t>Réaménagement - Rue Sainte-Catherine Ouest - Phase 3: McGill Colle ge et Cathcart</t>
  </si>
  <si>
    <t>Corridor pont Samuel-De Champlain - Accompagnement d'Infrastructure Canada - Travaux incidents</t>
  </si>
  <si>
    <t>Prolongement de la ligne bleue du métro - accompagnement STM</t>
  </si>
  <si>
    <t>Déconstruction du pont Champlain - Accompagnement PJCCI</t>
  </si>
  <si>
    <t>Programme de réfection des structures routières</t>
  </si>
  <si>
    <t>Programme complémentaire de planage-revêtement - Artériel</t>
  </si>
  <si>
    <t>Programme de réhabilitation de chaussées par planage-revêtement - Artériel</t>
  </si>
  <si>
    <t>Vélo - Programme de maintien du réseau cyclable</t>
  </si>
  <si>
    <t>Conseil municipal - Infrastructures du réseau routier</t>
  </si>
  <si>
    <t>Conseil d'agglomération - Infrastructures du réseau routier</t>
  </si>
  <si>
    <t>Conseil d'agglomération - Urbanisme et mobilité</t>
  </si>
  <si>
    <t>Conseil municipal - Urbanisme et mobilité</t>
  </si>
  <si>
    <t>Vélo :  Réseau Express Vélo et développment du réseau cyclable</t>
  </si>
  <si>
    <t>Programme de systèmes de transport utilisant les nouvelles technologies</t>
  </si>
  <si>
    <t>Programme de réfection routière</t>
  </si>
  <si>
    <t>Programme de réfection routière et d'infrastructures</t>
  </si>
  <si>
    <t>Programme de réfections mineures de trottoirs</t>
  </si>
  <si>
    <t>Mesures d'apaisement de la circulation- Arrondissement CDN - NDG</t>
  </si>
  <si>
    <t>Programme de réfection de voirie</t>
  </si>
  <si>
    <t>Programme de réaménagement des infrastructures</t>
  </si>
  <si>
    <t>Programme de remplacement de mobilier d'éclairage</t>
  </si>
  <si>
    <t>Mesures découlant du Plan de transport - Arrondissement de Saint-Laurent</t>
  </si>
  <si>
    <t>Programme de mesures d'apaisement de la circulation</t>
  </si>
  <si>
    <t>Piétonnisation des rues</t>
  </si>
  <si>
    <t>Programme d'installation de mobilier d'éclairage</t>
  </si>
  <si>
    <t>Programme local d'apaisement de la circulation</t>
  </si>
  <si>
    <t>Programme de réfection routière - Travaux publics</t>
  </si>
  <si>
    <t>Partage de la voirie pour l'Agglomération de Montréal (2018) *</t>
  </si>
  <si>
    <t>Total (millier de $)</t>
  </si>
  <si>
    <t>Seulement TC</t>
  </si>
  <si>
    <t>Seulement auto</t>
  </si>
  <si>
    <t>Seulement vélo</t>
  </si>
  <si>
    <t>Seulement marche</t>
  </si>
  <si>
    <t>Île-Bizard–Sainte-Geneviève</t>
  </si>
  <si>
    <t>Conseil  Agglomération</t>
  </si>
  <si>
    <t>Conseil Municipale</t>
  </si>
  <si>
    <t>code municipalité</t>
  </si>
  <si>
    <t>66087 et 66092</t>
  </si>
  <si>
    <t>Les valeurs imposables des terrains (#200014) peuvent être trouvé dans le document Données du sommaire du rôle d’évaluation 2023 en cherchant par code de munipalité(iop)</t>
  </si>
  <si>
    <t>Arrondissement</t>
  </si>
  <si>
    <t>Villes</t>
  </si>
  <si>
    <t>Aucun</t>
  </si>
  <si>
    <t>Résultats pour</t>
  </si>
  <si>
    <t>Vélo avec bande cyclable (2018)</t>
  </si>
  <si>
    <t>Part de surface de déneigement</t>
  </si>
  <si>
    <t>Part de la surface totale de rue dédiée à chaque mode de transport (rapport 2018 - avec bande cyclable)</t>
  </si>
  <si>
    <t>aucune PC déneigée</t>
  </si>
  <si>
    <t>717 km sur 901 déneigés</t>
  </si>
  <si>
    <t>Piste cyclable maisonneuve déneignée</t>
  </si>
  <si>
    <t>Total pistes seulement</t>
  </si>
  <si>
    <t>Avec scénario</t>
  </si>
  <si>
    <t>OD2018</t>
  </si>
  <si>
    <t>Tous les arrondissements</t>
  </si>
  <si>
    <t>Sous-total</t>
  </si>
  <si>
    <t>STM - Lignes de bus</t>
  </si>
  <si>
    <t>km de ligne</t>
  </si>
  <si>
    <t>surface utilisée</t>
  </si>
  <si>
    <t>Bus de la STM</t>
  </si>
  <si>
    <t>Réguliers</t>
  </si>
  <si>
    <t>articulés</t>
  </si>
  <si>
    <t>hybrides</t>
  </si>
  <si>
    <t>électriques</t>
  </si>
  <si>
    <t>mini-bus</t>
  </si>
  <si>
    <t>nombre</t>
  </si>
  <si>
    <t>capacité assise</t>
  </si>
  <si>
    <t>capacité maximale</t>
  </si>
  <si>
    <t>moyenne pondéré</t>
  </si>
  <si>
    <t>km2 de surface utilisée par chaque mode de transport (avec pistes cyclables)</t>
  </si>
  <si>
    <t>km2 de surface déneigé utilisée par chaque mode de transport (avec pistes cyclables déneigées)</t>
  </si>
  <si>
    <t>km2 déneigée</t>
  </si>
  <si>
    <t xml:space="preserve">Déneigement </t>
  </si>
  <si>
    <t>Remarque déneigement pistes cyclables,</t>
  </si>
  <si>
    <t>Distribution par utilisation (sans piste cyclable)</t>
  </si>
  <si>
    <t>Distribution par utilisation (avec piste cyclable)</t>
  </si>
  <si>
    <t>Distribution par surface chaussé (excluant la marche)</t>
  </si>
  <si>
    <t>Part de la surface utilisée par chaque mode de transport</t>
  </si>
  <si>
    <t>Part de surface de chaussée utilisée par chaque mode de transport</t>
  </si>
  <si>
    <t>Superficie total (km2)</t>
  </si>
  <si>
    <t>km2 pour autre que PC</t>
  </si>
  <si>
    <t>km2 de surface  par chaque mode de transport (sans pistes cyclables sans partage trottoir)</t>
  </si>
  <si>
    <t>km2 de surface utilisée par chaque mode de transport (sans pistes cyclables avec partage trottoir)</t>
  </si>
  <si>
    <t>Part de la surface utilisée par chaque mode de transport (avec pistes cyclables)</t>
  </si>
  <si>
    <t xml:space="preserve">Pour l'agglomération, </t>
  </si>
  <si>
    <t>des trajets sont faits en tant que "passager"</t>
  </si>
  <si>
    <t>Par auto</t>
  </si>
  <si>
    <t>personnes par auto en moyenne</t>
  </si>
  <si>
    <t>km2 de surface (voies réservés et pistes cyclables seulement avec partage trottoir)</t>
  </si>
  <si>
    <t>Achat et utilisation - privé</t>
  </si>
  <si>
    <t>Coûts fixes - privé</t>
  </si>
  <si>
    <t>Temps de déplacement - privé</t>
  </si>
  <si>
    <t>Coûts fixes - interne</t>
  </si>
  <si>
    <t>GES - caché</t>
  </si>
  <si>
    <t>Bénéfices - cachés</t>
  </si>
  <si>
    <t>Les sentiers polyvalents ne sont pas considéré comme une piste cyclable puisqu'ils sont souvent partagés avec les pietons et plus utilisés pour le plaisir que l'utilitaire</t>
  </si>
  <si>
    <t>Total social</t>
  </si>
  <si>
    <t>Total Privé</t>
  </si>
  <si>
    <t>total</t>
  </si>
  <si>
    <t>Coût moyen du L d'essence ($/L) à Montréal en 2023</t>
  </si>
  <si>
    <t>CFS</t>
  </si>
  <si>
    <t>H1A</t>
  </si>
  <si>
    <t>H1B</t>
  </si>
  <si>
    <t>H1C</t>
  </si>
  <si>
    <t>H1E</t>
  </si>
  <si>
    <t>H1G</t>
  </si>
  <si>
    <t>H1H</t>
  </si>
  <si>
    <t>H1J</t>
  </si>
  <si>
    <t>H1K</t>
  </si>
  <si>
    <t>H1L</t>
  </si>
  <si>
    <t>H1M</t>
  </si>
  <si>
    <t>H1N</t>
  </si>
  <si>
    <t>H1P</t>
  </si>
  <si>
    <t>H1R</t>
  </si>
  <si>
    <t>H1S</t>
  </si>
  <si>
    <t>H1T</t>
  </si>
  <si>
    <t>H1V</t>
  </si>
  <si>
    <t>H1W</t>
  </si>
  <si>
    <t>H1X</t>
  </si>
  <si>
    <t>H1Y</t>
  </si>
  <si>
    <t>H1Z</t>
  </si>
  <si>
    <t>H2A</t>
  </si>
  <si>
    <t>H2B</t>
  </si>
  <si>
    <t>H2C</t>
  </si>
  <si>
    <t>H2E</t>
  </si>
  <si>
    <t>H2G</t>
  </si>
  <si>
    <t>H2H</t>
  </si>
  <si>
    <t>H2J</t>
  </si>
  <si>
    <t>H2K</t>
  </si>
  <si>
    <t>H2L</t>
  </si>
  <si>
    <t>H2M</t>
  </si>
  <si>
    <t>H2N</t>
  </si>
  <si>
    <t>H2P</t>
  </si>
  <si>
    <t>H2R</t>
  </si>
  <si>
    <t>H2S</t>
  </si>
  <si>
    <t>H2T</t>
  </si>
  <si>
    <t>H2V</t>
  </si>
  <si>
    <t>H2W</t>
  </si>
  <si>
    <t>H2X</t>
  </si>
  <si>
    <t>H2Y</t>
  </si>
  <si>
    <t>H2Z</t>
  </si>
  <si>
    <t>H3A</t>
  </si>
  <si>
    <t>H3B</t>
  </si>
  <si>
    <t>H3C</t>
  </si>
  <si>
    <t>H3E</t>
  </si>
  <si>
    <t>H3G</t>
  </si>
  <si>
    <t>H3H</t>
  </si>
  <si>
    <t>H3J</t>
  </si>
  <si>
    <t>H3K</t>
  </si>
  <si>
    <t>H3L</t>
  </si>
  <si>
    <t>H3M</t>
  </si>
  <si>
    <t>H3N</t>
  </si>
  <si>
    <t>H3P</t>
  </si>
  <si>
    <t>H3R</t>
  </si>
  <si>
    <t>H3S</t>
  </si>
  <si>
    <t>H3T</t>
  </si>
  <si>
    <t>H3V</t>
  </si>
  <si>
    <t>H3W</t>
  </si>
  <si>
    <t>H3X</t>
  </si>
  <si>
    <t>H3Y</t>
  </si>
  <si>
    <t>H3Z</t>
  </si>
  <si>
    <t>H4A</t>
  </si>
  <si>
    <t>H4B</t>
  </si>
  <si>
    <t>H4C</t>
  </si>
  <si>
    <t>H4E</t>
  </si>
  <si>
    <t>H4G</t>
  </si>
  <si>
    <t>H4H</t>
  </si>
  <si>
    <t>H4J</t>
  </si>
  <si>
    <t>H4K</t>
  </si>
  <si>
    <t>H4L</t>
  </si>
  <si>
    <t>H4M</t>
  </si>
  <si>
    <t>H4N</t>
  </si>
  <si>
    <t>H4P</t>
  </si>
  <si>
    <t>H4R</t>
  </si>
  <si>
    <t>H4S</t>
  </si>
  <si>
    <t>H4T</t>
  </si>
  <si>
    <t>H4V</t>
  </si>
  <si>
    <t>H4W</t>
  </si>
  <si>
    <t>H4X</t>
  </si>
  <si>
    <t>H4Y</t>
  </si>
  <si>
    <t>H5A</t>
  </si>
  <si>
    <t>H8N</t>
  </si>
  <si>
    <t>H8P</t>
  </si>
  <si>
    <t>H8R</t>
  </si>
  <si>
    <t>H8S</t>
  </si>
  <si>
    <t>H8T</t>
  </si>
  <si>
    <t>H8Y</t>
  </si>
  <si>
    <t>H8Z</t>
  </si>
  <si>
    <t>H9A</t>
  </si>
  <si>
    <t>H9B</t>
  </si>
  <si>
    <t>H9C</t>
  </si>
  <si>
    <t>H9E</t>
  </si>
  <si>
    <t>H9G</t>
  </si>
  <si>
    <t>H9H</t>
  </si>
  <si>
    <t>H9J</t>
  </si>
  <si>
    <t>H9K</t>
  </si>
  <si>
    <t>H9P</t>
  </si>
  <si>
    <t>H9R</t>
  </si>
  <si>
    <t>H9S</t>
  </si>
  <si>
    <t>H9W</t>
  </si>
  <si>
    <t>H9X</t>
  </si>
  <si>
    <t>Name</t>
  </si>
  <si>
    <t>Privé ($/km)</t>
  </si>
  <si>
    <t>Total social ($/km)</t>
  </si>
  <si>
    <t>$/$ privé</t>
  </si>
  <si>
    <t>Budgets des autres villes de l'agglomération</t>
  </si>
  <si>
    <t>Résultats globaux</t>
  </si>
  <si>
    <t xml:space="preserve">Bonjour, bienvenue à notre projet sur la mobilité dans l'agglomération de Montréal. Le but de ce projet est de calculer les coûts privés et sociaux de l'utilisation de différents modes de transport sur l'île de Montréal. Les modes de transports étudiés sont : l'automobile, le transport collectif, le vélo et la marche. </t>
  </si>
  <si>
    <t>Budget EXO</t>
  </si>
  <si>
    <t>Train de banlieu</t>
  </si>
  <si>
    <t>Coûts fixes- cachés</t>
  </si>
  <si>
    <t>Total social ($/km-personne)</t>
  </si>
  <si>
    <t>exemple congstion - carburants</t>
  </si>
  <si>
    <t>exemple congstion - temps supp</t>
  </si>
  <si>
    <t>Revenu total médian des ménages, 2015</t>
  </si>
  <si>
    <t>Revenu total médian par personne 2023</t>
  </si>
  <si>
    <t>Inflation 2015 -2023</t>
  </si>
  <si>
    <t>Arrondissements</t>
  </si>
  <si>
    <t>Coût du déplacement</t>
  </si>
  <si>
    <t>Coût du carburant + taxe carbone</t>
  </si>
  <si>
    <t xml:space="preserve">Nous avons fait une régression qui suit les données </t>
  </si>
  <si>
    <t xml:space="preserve">Coût de la pollution ($ de 2023) par personne - estimation moyen </t>
  </si>
  <si>
    <t>Coût de la pollution $ par personne - estimation OD2018</t>
  </si>
  <si>
    <t>Coût du temps supplémentaire</t>
  </si>
  <si>
    <t>Temps déplacement avec congestion - aller</t>
  </si>
  <si>
    <t>exemple congstion - GES supp</t>
  </si>
  <si>
    <t>* inclus les taxes et taxes carbones</t>
  </si>
  <si>
    <t>Par personne selon scénario</t>
  </si>
  <si>
    <t>Coût socio-économique de la congestion routière pour lîle de Montréal</t>
  </si>
  <si>
    <t>Morts évitées par année par personne</t>
  </si>
  <si>
    <t>Vie épargniée par année dans l'agglomération</t>
  </si>
  <si>
    <t>Bénéfice par année pour l'agglomération ($) (scénario choisi)</t>
  </si>
  <si>
    <t>Congestion - cachés</t>
  </si>
  <si>
    <t>Total ratio ($ social / $ privé)</t>
  </si>
  <si>
    <t>Code de distribution</t>
  </si>
  <si>
    <t>Pour le calcul d'emprise spatiale</t>
  </si>
  <si>
    <t>Pour le calcul de distribution des coûts lumière</t>
  </si>
  <si>
    <t>Pour le calcul de distribution des coûts voirie</t>
  </si>
  <si>
    <t>Pour le calcul de distribution des coûts chaussés</t>
  </si>
  <si>
    <t>Pour le calcul de distribution du déneigement</t>
  </si>
  <si>
    <t>Fiche technique des bus</t>
  </si>
  <si>
    <t xml:space="preserve">Pour ne pas avoir de données abérantes liés à la très faible part modale dans certaines villes, une fonction a été appliquée pour réduire le poids des chaussées. </t>
  </si>
  <si>
    <t>Estimation de la proportion des camions lourds</t>
  </si>
  <si>
    <t>Bénéfices par année par personne(méthode HEAT)</t>
  </si>
  <si>
    <t>Calcul de VTPI</t>
  </si>
  <si>
    <t>Total Indemnités</t>
  </si>
  <si>
    <t>Coût des accidents par année par personne (interne)</t>
  </si>
  <si>
    <t xml:space="preserve">Coût des accidents externe par année ($) par personne </t>
  </si>
  <si>
    <t>Le coûts externes des accidents pour le vélo et la marche est de 5% celui de l'auto</t>
  </si>
  <si>
    <t>Selon ici</t>
  </si>
  <si>
    <t>Utilisation - privé</t>
  </si>
  <si>
    <t>Données prises du rapport de QC</t>
  </si>
  <si>
    <t>Année</t>
  </si>
  <si>
    <t>Autos</t>
  </si>
  <si>
    <t>Camions</t>
  </si>
  <si>
    <t>Pietons</t>
  </si>
  <si>
    <t>Velos</t>
  </si>
  <si>
    <t xml:space="preserve">Selon nos calculs de l'OD2018, </t>
  </si>
  <si>
    <t>Km moyen marche pour rejoindre STM (calcul OD2018)</t>
  </si>
  <si>
    <t xml:space="preserve">% pop entre 20-64 ans </t>
  </si>
  <si>
    <t>Personne par logis</t>
  </si>
  <si>
    <t>Taux de cyclistes adultes  utilitaires</t>
  </si>
  <si>
    <t>L'emprise spatiale des autos est pondéré sans le % des voitures hors montréal et les camions</t>
  </si>
  <si>
    <t>L'emprise spatiale des vélos est pondéré par le % de vélo utilitaire</t>
  </si>
  <si>
    <t>Coût des terrains élevés</t>
  </si>
  <si>
    <t>Faible part modale malgré présence de pistes cyclable</t>
  </si>
  <si>
    <t>Commentaires</t>
  </si>
  <si>
    <t>Accidents - Interne</t>
  </si>
  <si>
    <t>Accidents - Externe</t>
  </si>
  <si>
    <t>Légende:</t>
  </si>
  <si>
    <t>$ par personne par km payé par la société</t>
  </si>
  <si>
    <t>Distribution des coûts à travers le territoire</t>
  </si>
  <si>
    <t>Par personne utilisant l'auto, la société paye par année</t>
  </si>
  <si>
    <t>Par personne utilisant le TC, la société paye par année</t>
  </si>
  <si>
    <t>Par personne utilisant le vélo, la société paye par année</t>
  </si>
  <si>
    <t>Par personne utilisant la marche, la société paye par année</t>
  </si>
  <si>
    <t>Budget de l'ARTM, STM et EXO</t>
  </si>
  <si>
    <t>Valeur total</t>
  </si>
  <si>
    <t>*N'est pas considéré dans le total puisque le coût est déjà pris en compte dans le coût interne des accidents</t>
  </si>
  <si>
    <t>Travail</t>
  </si>
  <si>
    <t>Étude</t>
  </si>
  <si>
    <t>Autre</t>
  </si>
  <si>
    <t>Taux d'inflation 2019 à 2023</t>
  </si>
  <si>
    <t>Utilisation</t>
  </si>
  <si>
    <t>Calculateur de la congestion</t>
  </si>
  <si>
    <t>Les coûts nous proviennent de la modélisation des données du rapport du Ministère des Transport sur les analyse de coût-bénéfice en transport</t>
  </si>
  <si>
    <t>Bénéfice privé $/km par jour</t>
  </si>
  <si>
    <t>Bénéfice caché $/km par jour</t>
  </si>
  <si>
    <t>Comparaison avec l'agglomération</t>
  </si>
  <si>
    <t>Coût des terrains relativement élevés et faible part modale</t>
  </si>
  <si>
    <t>Congestion Temps - aller</t>
  </si>
  <si>
    <t>Total ($/km-personne)</t>
  </si>
  <si>
    <t>Total ($/personne)</t>
  </si>
  <si>
    <t>$ au total par année</t>
  </si>
  <si>
    <t>Évolution de la part modale</t>
  </si>
  <si>
    <t>PM 2023:</t>
  </si>
  <si>
    <t>d'augmentation de 2018 à 2023</t>
  </si>
  <si>
    <t>d'augmentation de 2018 à 2021</t>
  </si>
  <si>
    <t>Nb de véhicule</t>
  </si>
  <si>
    <t>Nb de passages Berri</t>
  </si>
  <si>
    <t>de diminution</t>
  </si>
  <si>
    <t>Communauto &amp; Bixi</t>
  </si>
  <si>
    <t>ND</t>
  </si>
  <si>
    <t>ND: Service non-disponible</t>
  </si>
  <si>
    <t>Ces données sont calculées à partir des tarifs Économique de Communauto ainsi que les tarifs saisoniers de BIXI</t>
  </si>
  <si>
    <t xml:space="preserve">Seulement un façon de voir les coûts alternatifs d'une économie de partage </t>
  </si>
  <si>
    <t>Ne sont pas considérés dans les calculs finaux</t>
  </si>
  <si>
    <t>Les coûts du carburants ainsi que l'utilisation sont calculés indivuduellement selon le temps et la distance de déplacement moyen selon la ville/arrondissement</t>
  </si>
  <si>
    <t>Les données pour l'utilisation et l'essence sont exclus du total et calculer plus bas</t>
  </si>
  <si>
    <t>Petit calcul de modes alternatifs</t>
  </si>
  <si>
    <t>Stationnement, Prime d'assurance &amp; autre par personne</t>
  </si>
  <si>
    <t>*Déjà pris en compte dans le calcul de l'essence</t>
  </si>
  <si>
    <t>Les émissions de la ville de Montréal comprend tous les modes de transport routiers, ici on calcule plus précisément avec les distances et temps de déplacement moyens</t>
  </si>
  <si>
    <t>Pour l'auto, ici on calcule plus précisément avec les distances et temps de déplacement moyens</t>
  </si>
  <si>
    <t>Données provenant de la modélisation des données du MTMD (données de 2019)</t>
  </si>
  <si>
    <t>Prix par catégorie (méthode du capital Humain) (actualisé à 2023)</t>
  </si>
  <si>
    <t>Prix par catégorie (méthode de la disposition à payer) (actualisé à 2023)</t>
  </si>
  <si>
    <t>Le coût des accidents nous provient du rapport du Ministère des Transport sur les analyse de coût-bénéfice en transport (données de 2019)</t>
  </si>
  <si>
    <t>Chaque utilisateur du mode dans l'agglomération paye</t>
  </si>
  <si>
    <t>Chaque utilisateur du mode dans la ville paye</t>
  </si>
  <si>
    <t>Moyenne payée par les utilisateur du mode dans la ville</t>
  </si>
  <si>
    <t>Chaque utilisateur du mode dans l'arrondissement</t>
  </si>
  <si>
    <t>*Pour l'agglomération, les valeurs viennent de moyennes pondérées des villes</t>
  </si>
  <si>
    <t>**Pour Montréal, les valeurs viennent de moyennes pondérées des arrondissements</t>
  </si>
  <si>
    <t>Coût de location</t>
  </si>
  <si>
    <t>Taux d'intêret</t>
  </si>
  <si>
    <t>année d'amortissement</t>
  </si>
  <si>
    <t>Évaluation frontière à Montréal 2023 - valeur des terrains total</t>
  </si>
  <si>
    <t>Superficie de terrains</t>
  </si>
  <si>
    <t>$/m2</t>
  </si>
  <si>
    <t>Utilisation supplémentaire (inclus l'essence)</t>
  </si>
  <si>
    <t>Total par année</t>
  </si>
  <si>
    <t>Les GES inclus: CO2 : gaz carbonique; CH4 : méthane; N2O : protoxyde d’azote. Et les polluants atmosphériques: CO : monoxyde de carbone; HC : hydrocarbures;NOX : oxydes d’azote; SOX : oxydes de soufre; PM : particules fines (PM10 et PM2,5).</t>
  </si>
  <si>
    <t>VTPI (2023, CAD)</t>
  </si>
  <si>
    <t>Bénéfices par année par personne (MÉTHODE VTPI -QC) - caché</t>
  </si>
  <si>
    <t>Bénéfices par année par personne (MÉTHODE VTPI - 2023)</t>
  </si>
  <si>
    <t>REM23</t>
  </si>
  <si>
    <t>REM09</t>
  </si>
  <si>
    <t>REM34</t>
  </si>
  <si>
    <t>REM32</t>
  </si>
  <si>
    <t>REM27</t>
  </si>
  <si>
    <t>REM17</t>
  </si>
  <si>
    <t>REM22</t>
  </si>
  <si>
    <t>REM16</t>
  </si>
  <si>
    <t>REM05</t>
  </si>
  <si>
    <t>REM31</t>
  </si>
  <si>
    <t>REM33</t>
  </si>
  <si>
    <t>REM21</t>
  </si>
  <si>
    <t>REM24</t>
  </si>
  <si>
    <t>REM15</t>
  </si>
  <si>
    <t>REM14</t>
  </si>
  <si>
    <t>REM12</t>
  </si>
  <si>
    <t>REM19</t>
  </si>
  <si>
    <t>REM25</t>
  </si>
  <si>
    <t>REM20</t>
  </si>
  <si>
    <t>Valeur location</t>
  </si>
  <si>
    <t>Nb de morts évités par personne par km de marche par jour pour une année</t>
  </si>
  <si>
    <t>Nb de morts évités par personne par km de vélo par jour pour une année</t>
  </si>
  <si>
    <t>Nous avec HEAT</t>
  </si>
  <si>
    <t>Kirkland**</t>
  </si>
  <si>
    <t>** Pour Kirkland, la longue piste cyclable qui traverse la ville a été divisé avec les piétons selon la part modale</t>
  </si>
  <si>
    <t>Pour comparaison seulement</t>
  </si>
  <si>
    <t>Méthode choisi</t>
  </si>
  <si>
    <t>1-4</t>
  </si>
  <si>
    <t>5-9</t>
  </si>
  <si>
    <t>10-14</t>
  </si>
  <si>
    <t>15-19</t>
  </si>
  <si>
    <t>20-24</t>
  </si>
  <si>
    <t>25-29</t>
  </si>
  <si>
    <t>30-34</t>
  </si>
  <si>
    <t>35-39</t>
  </si>
  <si>
    <t>40-44</t>
  </si>
  <si>
    <t>45-49</t>
  </si>
  <si>
    <t>50-54</t>
  </si>
  <si>
    <t>55-59</t>
  </si>
  <si>
    <t>60-64</t>
  </si>
  <si>
    <t>65-69</t>
  </si>
  <si>
    <t>70-74</t>
  </si>
  <si>
    <t>75-79</t>
  </si>
  <si>
    <t>80-84</t>
  </si>
  <si>
    <t>85-89</t>
  </si>
  <si>
    <t>90-94</t>
  </si>
  <si>
    <t>95 et plus</t>
  </si>
  <si>
    <t>Taux de mortalité au Québec 2022</t>
  </si>
  <si>
    <t>0-4</t>
  </si>
  <si>
    <t>Taux de mortalité moyen par 100 000 hab.</t>
  </si>
  <si>
    <t xml:space="preserve">Taux de mortalité par 100 000 hab. </t>
  </si>
  <si>
    <t>Population en 2022</t>
  </si>
  <si>
    <t>Taux par 1000 hab</t>
  </si>
  <si>
    <t>% de stationnement sur rue</t>
  </si>
  <si>
    <t>Stationnement sur rue</t>
  </si>
  <si>
    <t>ES par personne</t>
  </si>
  <si>
    <t>Total (M$ par année)</t>
  </si>
  <si>
    <t>Privé ($/personne)</t>
  </si>
  <si>
    <t>Indirect ($/personne)</t>
  </si>
  <si>
    <t>Caché ($/personne)</t>
  </si>
  <si>
    <t>Privé (M $)</t>
  </si>
  <si>
    <t>Indirect (M $)</t>
  </si>
  <si>
    <t>Caché (M $)</t>
  </si>
  <si>
    <t>% de switch</t>
  </si>
  <si>
    <t xml:space="preserve">Différence </t>
  </si>
  <si>
    <t>Total (M$)</t>
  </si>
  <si>
    <t>Avant</t>
  </si>
  <si>
    <t>Privé (%)</t>
  </si>
  <si>
    <t>Indirect (%)</t>
  </si>
  <si>
    <t>Caché (%)</t>
  </si>
  <si>
    <t>total (%)</t>
  </si>
  <si>
    <t>Après</t>
  </si>
  <si>
    <t>total (M$)</t>
  </si>
  <si>
    <t>Externalité</t>
  </si>
  <si>
    <t>Accidents</t>
  </si>
  <si>
    <t>Différence</t>
  </si>
  <si>
    <t>Projection de la mobilité</t>
  </si>
  <si>
    <t>km2 PC par cycliste</t>
  </si>
  <si>
    <t>km2 autre que PC par cycliste</t>
  </si>
  <si>
    <t>Bénefices santé</t>
  </si>
  <si>
    <t>Différence M$</t>
  </si>
  <si>
    <t>vers le vélo</t>
  </si>
  <si>
    <t>vers le TC</t>
  </si>
  <si>
    <t>Temps</t>
  </si>
  <si>
    <t>Coût du temps de déplacement pour l'agglomération</t>
  </si>
  <si>
    <t>Résultats - projections</t>
  </si>
  <si>
    <t>Pour la mise à jour du Gouvernement du Canada</t>
  </si>
  <si>
    <t>Coût de la pollution de l'essence par t éq. CO2</t>
  </si>
  <si>
    <t>Description: Les émissions de gaz à effet de serre et autres polluants atmosphériques pour l’automobile ont été calculées en fonction de la distance et du temps de déplacement moyen dans chaque ville ou arrondissement. Le rapport sur les analyses économiques pour les projets publics en transport routier du MTMD comprend un tableau qui décrit en détail le prix du carbone ainsi que les émissions de différents GES en fonction de la vitesse et de la distance parcourue. Pour 2023, le MTMD propose un coût de 126,67$ la tonne équivalente de CO2. Toutefois, une mise à jour a été faite en 2022 par le Gouvernement du Canada en lien avec les données publiées par l’agence américaine de protection de l'environnement (EPA). Nous avons considéré ce coût à la place du prix du carbone sur le marché au Québec en 2023 (53$ la tonne) puisque celui-ci, dans la mise à jour par le Ministère de l‘environnement du Canadacomprend plus d’éléments socio-économiques et s’élève à 472$ la tonne de CO2, eq  émise lors de la combustion d’essence.</t>
  </si>
  <si>
    <t xml:space="preserve">Description: La pratique de la marche et du vélo a un bénéfice pour la santé. L’OMS fournit un outil de calcul des bénéfices sur la santé et l’espérance de vie des modes de déplacement actifs. Nous avons configuré HEAT pour y ressortir le nombre de morts évitées par la pratique de la marche et du vélo par km d’activité physique. Pour l’évaluation du coût de la vie humaine, nous avons à nouveau utilisé les données du MTMD pour la méthode du capital humain. Pour le transport en commun, nous avons pu estimer la marche moyenne des utilisateurs pour se rendre à l’arrêt ou à la station la plus proche, selon les données de l’Enquête Origine-Destination. </t>
  </si>
  <si>
    <t xml:space="preserve">Description: Les contraventions liées à la circulation et au stationnement sont principalement payées par les automobilistes, nous avons utilisé le bilan du SPVM pour leur en attribuer une part cohérente parmi le total perçu annuellement. Les cyclistes et les piétons sont aussi affectés par ce coût. </t>
  </si>
  <si>
    <t xml:space="preserve">Description: La relation entre le temps et la valeur économique est complexe et subjective, variant significativement d'un individu à l'autre et se mesure généralement avec la disposition à payer. Le Victoria Transport Policy Institute a effectué une revue de littérature exhaustive sur cette thématique, comme il est détaillé dans la section consacrée au temps de déplacement de leur publication. Le Tableau 5.2.7-4 synthétise les recommandations du Department of Transportation des États-Unis concernant le pourcentage du salaire à considérer pour le calcul de la valeur du temps de déplacement, établissant des taux pour les activités personnelles (35 à 60 %) et professionnelles (80 à 120 %). Dans le cadre de notre étude, qui inclut à la fois les déplacements liés au travail et aux études, une valeur médiane de 50 % du salaire horaire médian métropolitain a été adoptée pour estimer la volonté à payer pour le temps de transport. En 2023, cette valeur correspondait à 28 dollars de l'heure. Cette donnée salariale, associée aux temps de déplacement recueillis via l'Enquête Origine-Destination, permet d'apporter une estimation de la valeur du temps consacré aux déplacements dans le contexte métropolitain. </t>
  </si>
  <si>
    <t>Montréal Centre</t>
  </si>
  <si>
    <t>Montréal Est</t>
  </si>
  <si>
    <t>Montréal Ouest</t>
  </si>
  <si>
    <t>Contient</t>
  </si>
  <si>
    <t>Différence avec l'agglomération (%)</t>
  </si>
  <si>
    <t>Ces données proviennent des données ouvertes de a STM. Nous avons calculer le nombre de km de lignes de bus à l'intérieur des limites des villes et arrondissements (données de découpage administratif). Nous avons exclus toutes lignes supplémentaires et avons garder seulement le duo nord/sud ou est/ouest des lignes. Selon les directives du gouvernement, une voie de circulation devrait être de 3.5 m</t>
  </si>
  <si>
    <t>Total  ($/ km -personne)</t>
  </si>
  <si>
    <t>2023 (toutes zones)</t>
  </si>
  <si>
    <t>Nombre de déplacement (2023)</t>
  </si>
  <si>
    <t>Total 2023</t>
  </si>
  <si>
    <t>Contrat de service</t>
  </si>
  <si>
    <t>Les données du budget de l'ARTM proviennent de leur Budget 2024</t>
  </si>
  <si>
    <t xml:space="preserve">Part auto total CMM </t>
  </si>
  <si>
    <t xml:space="preserve">Hors agglo MTL &gt; Dans agglo MTL: </t>
  </si>
  <si>
    <t>Hors agglo MTL &gt; Hors agglo MTL:  </t>
  </si>
  <si>
    <t>Dans agglo MTL &gt; Dans agglo MTL:  </t>
  </si>
  <si>
    <t>Dans agglo MTL &gt; Hors agglo MTL:  </t>
  </si>
  <si>
    <t>somme (excluant 2024)</t>
  </si>
  <si>
    <t xml:space="preserve">Part transit total CMM </t>
  </si>
  <si>
    <t>Hors agglo MTL &gt; Dans agglo MTL:  </t>
  </si>
  <si>
    <t>TC dans MTL seulement :</t>
  </si>
  <si>
    <t>des autos proviennent de Montréal. C'est pour quoi, les budgets provinciaux et fédéraux seront pondérés en retire les camions et les trajets provenant de l'extérieur de Montréal. Pour les budgets municipaux, les personnes de l'extérieurs de payent pas pour, alors seulement les camions sont retirés.</t>
  </si>
  <si>
    <t>Le vélo est toujours moins cher que l'auto</t>
  </si>
  <si>
    <t>Le TC est toujours moins cher que l'auto</t>
  </si>
  <si>
    <t>Comparaison avec l'auto, l'auto est x fois plus cher que TC (social)</t>
  </si>
  <si>
    <t>Comparaison avec l'auto, l'auto est x fois plus cher que TC (privé)</t>
  </si>
  <si>
    <t>voir onglet Indirect - Budget VdeM</t>
  </si>
  <si>
    <t>N_0:</t>
  </si>
  <si>
    <t>L'emprise spatiale du TC est pondéré avec les utilisateur Travail+étude et les gens de l'île seulement</t>
  </si>
  <si>
    <t>Part modale après changement d'habitude 10 km</t>
  </si>
  <si>
    <t>Part modale après changement d'habitude 7 km</t>
  </si>
  <si>
    <t>Part modale après changement d'habitude 5 km</t>
  </si>
  <si>
    <t>Temps (minutes - sans congestion par aller) - scénario</t>
  </si>
  <si>
    <t>Distance (km par aller) - scénario</t>
  </si>
  <si>
    <t>Distance (km par aller) - OD2018</t>
  </si>
  <si>
    <t>Temps (minutes - sans congestion par aller) - OD2018</t>
  </si>
  <si>
    <t>Congestion Temps - aller - OD2018</t>
  </si>
  <si>
    <t>nb</t>
  </si>
  <si>
    <t>Résultats du scénario sélectionné</t>
  </si>
  <si>
    <t>10 km</t>
  </si>
  <si>
    <t>7 km</t>
  </si>
  <si>
    <t>5 km</t>
  </si>
  <si>
    <t>Aucun scénario</t>
  </si>
  <si>
    <t>Maintien ou expansion</t>
  </si>
  <si>
    <t xml:space="preserve">L'automobile est </t>
  </si>
  <si>
    <t>Retour à la Table des matières</t>
  </si>
  <si>
    <t>Clés de répartition</t>
  </si>
  <si>
    <t>Émission des gaz à effet de serre et polluants atmosphériques</t>
  </si>
  <si>
    <t>Type de coûts ($ par personne par année)</t>
  </si>
  <si>
    <t>achat_auto</t>
  </si>
  <si>
    <t>frais_fixe_auto</t>
  </si>
  <si>
    <t>fed_auto</t>
  </si>
  <si>
    <t>qc_auto</t>
  </si>
  <si>
    <t>muni_auto</t>
  </si>
  <si>
    <t>km_auto</t>
  </si>
  <si>
    <t>time_auto</t>
  </si>
  <si>
    <t>time_cong_auto</t>
  </si>
  <si>
    <t>accident_auto</t>
  </si>
  <si>
    <t>ES_auto</t>
  </si>
  <si>
    <t>city</t>
  </si>
  <si>
    <t>Verdun - Île des Soeurs</t>
  </si>
  <si>
    <t>utilisation_TC</t>
  </si>
  <si>
    <t>frais_fixe_TC</t>
  </si>
  <si>
    <t>cout_public_TC</t>
  </si>
  <si>
    <t>GES_TC</t>
  </si>
  <si>
    <t>congestion_TC</t>
  </si>
  <si>
    <t>accident_TC</t>
  </si>
  <si>
    <t>ES_TC</t>
  </si>
  <si>
    <t>benefice_TC</t>
  </si>
  <si>
    <t>km_TC</t>
  </si>
  <si>
    <t>time_TC</t>
  </si>
  <si>
    <t>km_velo</t>
  </si>
  <si>
    <t>time_velo</t>
  </si>
  <si>
    <t>achat_velo</t>
  </si>
  <si>
    <t>frais_fixe_velo</t>
  </si>
  <si>
    <t>fed_velo</t>
  </si>
  <si>
    <t>qc_velo</t>
  </si>
  <si>
    <t>muni_velo</t>
  </si>
  <si>
    <t>accident_velo</t>
  </si>
  <si>
    <t>ES_velo</t>
  </si>
  <si>
    <t xml:space="preserve"> </t>
  </si>
  <si>
    <t>km_marche</t>
  </si>
  <si>
    <t>time_marche</t>
  </si>
  <si>
    <t>frais_fixe_marche</t>
  </si>
  <si>
    <t>muni_marche</t>
  </si>
  <si>
    <t>accident_marche</t>
  </si>
  <si>
    <t>ES_marche</t>
  </si>
  <si>
    <t>Les données du budget de la STM proviennnent de leur rapport financier 2023 et Budget 2024</t>
  </si>
  <si>
    <t>sont attribués aux camions</t>
  </si>
  <si>
    <t>Accident Ile de Montréal 2022</t>
  </si>
  <si>
    <t>Transport en commun (STM, 2023)</t>
  </si>
  <si>
    <t>Auto (VdeM, 2022)</t>
  </si>
  <si>
    <t>par km de route</t>
  </si>
  <si>
    <t>Population décrété 2023</t>
  </si>
  <si>
    <t>Part de la population utilisée 2023</t>
  </si>
  <si>
    <t>Volonté à payer</t>
  </si>
  <si>
    <t xml:space="preserve">Description: Par ailleurs, les coûts payés par les utilisateurs pour les permis de conduire et l’immatriculation sont aussi pris en compte. Une taxe est également perçue sur l’immatriculation des véhicules de promenade qui permet le financement des transports en commun. La contribution à l’assurance n’a pas été prise en compte puisque ce montant est inclus dans le coût interne des accidents. Même chose pour la taxe carbone, qui est inclus dans le coût de l'utilisation. </t>
  </si>
  <si>
    <t>Achat</t>
  </si>
  <si>
    <t>kilométrage moyen par année</t>
  </si>
  <si>
    <t>Mise en valeur des immeubles patrimoniaux municipaux</t>
  </si>
  <si>
    <t>Payé comptant</t>
  </si>
  <si>
    <t>Réseau routier</t>
  </si>
  <si>
    <t>Service à la dette</t>
  </si>
  <si>
    <t>frais d'administration</t>
  </si>
  <si>
    <t>Budget de la Ville de Montréal 2023 (M$)</t>
  </si>
  <si>
    <t>Immobilisation payée comptant</t>
  </si>
  <si>
    <t>Financement externe</t>
  </si>
  <si>
    <t>emprunt</t>
  </si>
  <si>
    <t>PDI 2023 (millier $)</t>
  </si>
  <si>
    <t>PDI 2023 (M$)</t>
  </si>
  <si>
    <t>Paiement dette</t>
  </si>
  <si>
    <t xml:space="preserve">Total </t>
  </si>
  <si>
    <t>MTMD</t>
  </si>
  <si>
    <t>Budget provicial total (M$)</t>
  </si>
  <si>
    <t>Service de la dette</t>
  </si>
  <si>
    <t>PQI 2023 total</t>
  </si>
  <si>
    <t>Réseau routier - maintien</t>
  </si>
  <si>
    <t>Réseau routier - boni</t>
  </si>
  <si>
    <t>TC - maintien</t>
  </si>
  <si>
    <t>TC - boni</t>
  </si>
  <si>
    <t>province</t>
  </si>
  <si>
    <t>Agglo. Montréal</t>
  </si>
  <si>
    <t>par année TC*</t>
  </si>
  <si>
    <t>Utilisation du train à MTL</t>
  </si>
  <si>
    <t>Utilisation du TC (La STM en bref)</t>
  </si>
  <si>
    <t>Retraité</t>
  </si>
  <si>
    <t>T+E</t>
  </si>
  <si>
    <t>Pour Vélo et TC, proportion 1:3</t>
  </si>
  <si>
    <t>Achat d'un véhicule par ménage</t>
  </si>
  <si>
    <t>Stationnement, Prime d'assurance &amp; autre par ménage</t>
  </si>
  <si>
    <t>*Sont pris en compte dans le coût d'utilisation</t>
  </si>
  <si>
    <t>Entretien et réparation</t>
  </si>
  <si>
    <t>Part modale estimée pour 2023 - données de recencement</t>
  </si>
  <si>
    <t>Estmation 2023 - projection</t>
  </si>
  <si>
    <t>Part modale estimée pour 2023 - projection</t>
  </si>
  <si>
    <t>de l'achalandage pré-pandémique</t>
  </si>
  <si>
    <t>2022-2023</t>
  </si>
  <si>
    <t>Inflation 2022 à 2023</t>
  </si>
  <si>
    <t>Total par personne 2023 pour la proportion voyagé</t>
  </si>
  <si>
    <t>*Le coût annuel pris en compte est celui pour les kms domicile-travail/étude seulement</t>
  </si>
  <si>
    <t>Estimation 2023 - recensement</t>
  </si>
  <si>
    <t>Taxe relative au financement de la contribution ARTM</t>
  </si>
  <si>
    <t>Taxe sur l'immatriculation</t>
  </si>
  <si>
    <t>Total dans les budgets</t>
  </si>
  <si>
    <t>Provient des données ouvertes des taxes</t>
  </si>
  <si>
    <t>Coût du stationnement hors rue non-résidentiel</t>
  </si>
  <si>
    <t>Distrubution des taxes pour la ARTM 2023 (millier de $)</t>
  </si>
  <si>
    <t>fois plus cher par km parcouru que le transport collectif pour le coût social</t>
  </si>
  <si>
    <t>fois plus cher par km parcouru que le transport collectif pour le coût total</t>
  </si>
  <si>
    <t>plus cher par personne par année que le transport collectif pour le coût total</t>
  </si>
  <si>
    <t>plus cher par personne par année que le transport collectif pour le coût social</t>
  </si>
  <si>
    <t>Coût des permis et immatriculations</t>
  </si>
  <si>
    <t>assurance permis</t>
  </si>
  <si>
    <t xml:space="preserve">assurance imm. </t>
  </si>
  <si>
    <t>contribution TC</t>
  </si>
  <si>
    <t>total sans assurance</t>
  </si>
  <si>
    <t>total juste assurance</t>
  </si>
  <si>
    <t>total contribution</t>
  </si>
  <si>
    <t>Taux des contrats allant à la STM</t>
  </si>
  <si>
    <t>Provincial total</t>
  </si>
  <si>
    <t>Municipal total</t>
  </si>
  <si>
    <t>Les données du budget EXO proviennt de leur Budget 2024 et rapport d'activité 2023</t>
  </si>
  <si>
    <t>Autres revenus</t>
  </si>
  <si>
    <t>Charges</t>
  </si>
  <si>
    <t>Rémunération</t>
  </si>
  <si>
    <t>Charges sociales</t>
  </si>
  <si>
    <t>Biens et services</t>
  </si>
  <si>
    <t>Frais de financement court terme</t>
  </si>
  <si>
    <t>Intérêt dette à la charge de la STM</t>
  </si>
  <si>
    <t>Intérêt dette à la charge de QC</t>
  </si>
  <si>
    <t>Amortissement des immobilisations</t>
  </si>
  <si>
    <t>Charge de désactualisation</t>
  </si>
  <si>
    <t>Autres</t>
  </si>
  <si>
    <t>Investissement</t>
  </si>
  <si>
    <t>Revenus de l'ARTM</t>
  </si>
  <si>
    <t>Subventions</t>
  </si>
  <si>
    <t>Fonctionnement</t>
  </si>
  <si>
    <t>Revenus portefeuilles</t>
  </si>
  <si>
    <t>Sous total</t>
  </si>
  <si>
    <t>Acquisitions</t>
  </si>
  <si>
    <t>Produit de cession</t>
  </si>
  <si>
    <t>Amortissement</t>
  </si>
  <si>
    <t>Perte de cession</t>
  </si>
  <si>
    <t>Variation des stocks</t>
  </si>
  <si>
    <t>Variation autres actifs</t>
  </si>
  <si>
    <t>Variation immobilière</t>
  </si>
  <si>
    <t>perte de réévaluation</t>
  </si>
  <si>
    <t>*S'en va dans la dette</t>
  </si>
  <si>
    <t>Subventions de fonctionnement</t>
  </si>
  <si>
    <t>Subventions d'investissement</t>
  </si>
  <si>
    <t>Fonds Chantiers Canada (FCC)</t>
  </si>
  <si>
    <t>PAGTCP (MTMD)</t>
  </si>
  <si>
    <t>SOFIL (MTMD)</t>
  </si>
  <si>
    <t>PAFFITC (MTMD)</t>
  </si>
  <si>
    <t>PAGITC (MTMD)</t>
  </si>
  <si>
    <t>Décret Vendôme (MTMD)</t>
  </si>
  <si>
    <t>Subventions fédérales</t>
  </si>
  <si>
    <t>Revenus ARTM</t>
  </si>
  <si>
    <t>À la dette</t>
  </si>
  <si>
    <t>Budget  STM</t>
  </si>
  <si>
    <t>Subventions totales MTMD</t>
  </si>
  <si>
    <t>Autres subventions</t>
  </si>
  <si>
    <t>STM</t>
  </si>
  <si>
    <t>ARTM</t>
  </si>
  <si>
    <t>Revenus</t>
  </si>
  <si>
    <t>Proj. 2023</t>
  </si>
  <si>
    <t>Contributions municipales</t>
  </si>
  <si>
    <t>Subvention de fonctionnement</t>
  </si>
  <si>
    <t>Subventions aux projets d'immobilisation</t>
  </si>
  <si>
    <t>Aide COVID (PAUTC)</t>
  </si>
  <si>
    <t>Soutien à l'ARTM</t>
  </si>
  <si>
    <t>Subventions mesures atténuation REM</t>
  </si>
  <si>
    <t>Contributions automobilistes</t>
  </si>
  <si>
    <t>Dépenses</t>
  </si>
  <si>
    <t>Contrats de services</t>
  </si>
  <si>
    <t>Équipements métropolitains</t>
  </si>
  <si>
    <t>Billetteries métropolitaines</t>
  </si>
  <si>
    <t>Express métropolitain</t>
  </si>
  <si>
    <t>Mesures d'atténuation</t>
  </si>
  <si>
    <t>Frais administration</t>
  </si>
  <si>
    <t>Frais explotation et dév. TC</t>
  </si>
  <si>
    <t>sous total</t>
  </si>
  <si>
    <t>Autres frais</t>
  </si>
  <si>
    <t>Municipale</t>
  </si>
  <si>
    <t>Pour la STM</t>
  </si>
  <si>
    <t>Fonctionnement du TC usager</t>
  </si>
  <si>
    <t>EXO</t>
  </si>
  <si>
    <t>Subventions municipales</t>
  </si>
  <si>
    <t>Subventions MTMD</t>
  </si>
  <si>
    <t>*sans les taxes provenant des arrondissements</t>
  </si>
  <si>
    <t>Immobilisation</t>
  </si>
  <si>
    <t>Subventions coûts admissibles</t>
  </si>
  <si>
    <t>Subventions intérêts</t>
  </si>
  <si>
    <t>Contrat d’exploitation</t>
  </si>
  <si>
    <t>Entretien de la flotte et des équipements</t>
  </si>
  <si>
    <t>Salaires et avantages sociaux</t>
  </si>
  <si>
    <t>Autres dépenses d’exploitation</t>
  </si>
  <si>
    <t>Énergie</t>
  </si>
  <si>
    <t>Services professionnels</t>
  </si>
  <si>
    <t>Frais immobiliers et assurances</t>
  </si>
  <si>
    <t>Intérêts et frais de financement</t>
  </si>
  <si>
    <t>Frais d’études de faisabilité</t>
  </si>
  <si>
    <t>Perte sur cession d’actif</t>
  </si>
  <si>
    <t>Variation des immobilisation</t>
  </si>
  <si>
    <t>S'en va à la dette</t>
  </si>
  <si>
    <t>Pertes nettes de réévaluation</t>
  </si>
  <si>
    <t>Montant STM +EXO</t>
  </si>
  <si>
    <t>2023 (STM)</t>
  </si>
  <si>
    <t>Pour EXO</t>
  </si>
  <si>
    <t>Excédant</t>
  </si>
  <si>
    <t>2023 (EXO train MTL)</t>
  </si>
  <si>
    <t>*pris en compte dans l'onglet Indirect-Villes</t>
  </si>
  <si>
    <t>*pris en compte dans l'onglet Prov. &amp; Fed</t>
  </si>
  <si>
    <t>*Le montant considéré pour le TC est celui dans l'onglet ARTM</t>
  </si>
  <si>
    <t>CO2</t>
  </si>
  <si>
    <t>CH4</t>
  </si>
  <si>
    <t>N2O</t>
  </si>
  <si>
    <t>Coût du polluant (2023) $/tonne</t>
  </si>
  <si>
    <t>Équivalent dioxyde de
carbone</t>
  </si>
  <si>
    <t>Facteur d'émmision - combustion essence pour automobile (g/litre)</t>
  </si>
  <si>
    <t>Coût par litre</t>
  </si>
  <si>
    <t>éq. CO2</t>
  </si>
  <si>
    <t>Coût pat tonne éq CO2</t>
  </si>
  <si>
    <t>et les facteurs d'émission</t>
  </si>
  <si>
    <t>Calculateur de GES + polluants atmosphériques par année</t>
  </si>
  <si>
    <t>Par personne en moyenne pour déplacement travail/étude sur l'île</t>
  </si>
  <si>
    <t>Valeur choisi</t>
  </si>
  <si>
    <t>Stationnement (m2) S1</t>
  </si>
  <si>
    <t>Stationnement (m2) - S2</t>
  </si>
  <si>
    <t>S1: provient du registre foncier : peut sous-estimé les stationnements lorsque le terrain est associé à un autre type</t>
  </si>
  <si>
    <t>S2 : provient du fichier des taxes pour le stationnement, manque les stationnements en dehors de la ville et ceux de 10 000 m2 et moins en dehors du centre ville</t>
  </si>
  <si>
    <t>Différence privé total</t>
  </si>
  <si>
    <t>Passager par auto</t>
  </si>
  <si>
    <t>$ par personne par km payé collectivement (coût total)</t>
  </si>
  <si>
    <t>$ par personne par km collectivement (coût total)</t>
  </si>
  <si>
    <t>Comparaison avec l'auto, l'auto est x fois plus cher que le vélo (km total)</t>
  </si>
  <si>
    <t>Comparaison avec l'auto, l'auto est x fois plus cher que TC (km total)</t>
  </si>
  <si>
    <t>Pour l'ensemble du Québec</t>
  </si>
  <si>
    <t>Le potentiel de transfert des choix de transport dans l'agglomération de Montréal est significatif, comme en témoignent les données révélatrices sur les trajets en voiture et les alternatives possibles. Une analyse approfondie des statistiques de l’enquête origine-destination 2018 révèle que 15 % des trajets en voiture durent plus de 30 minutes sans congestion, représentant 33,3 % des kilomètres parcourus, et engendrant respectivement 22 % et 18 % des coûts privés et sociaux. De plus, 35 % des trajets en voiture sont plus longs avec congestion que les alternatives disponibles, représentant 20 % des kilomètres parcourus en voiture.
Ces données illustrent clairement la faisabilité d'un transfert modal d'au moins 40 % des déplacements conducteurs, soit 46% des trajets avec ou sans passagers, vers des options de transport plus durables telles que la marche, le vélo ou les transports en commun. Ce transfert serait envisagé principalement pour les trajets de moins de 10 kilomètres, avec un écart de temps n’excédant pas 5 minutes par rapport aux durées de trajet automobile en conditions de congestion.
Choisir le scénario pour voir les économies faites par les individus et la société</t>
  </si>
  <si>
    <t>Nombre de personne qui on switch de l'auto</t>
  </si>
  <si>
    <t>Différence temps supplémentaire</t>
  </si>
  <si>
    <t>Différence privé supplémentaire</t>
  </si>
  <si>
    <t>Différence interne supplémentaire</t>
  </si>
  <si>
    <t>Différence coûts cachés totaux</t>
  </si>
  <si>
    <t>Différence coûts sociaux supplémentaire</t>
  </si>
  <si>
    <t>Différence des coût total</t>
  </si>
  <si>
    <t>Économie sociale par switch</t>
  </si>
  <si>
    <t>Économie privée par switch</t>
  </si>
  <si>
    <t>*Les totaux peuvent être légèrement différents à cause de la façon de faire les moyennes</t>
  </si>
  <si>
    <t xml:space="preserve">L'allocation des dépenses publiques aux différents modes de transport nécessite l'établissement de clés de répartition afin de pallier le manque de distinction au sein des lignes budgétaires. Ceci est particulièrement pertinent lorsque des dépenses allouées à la voirie bénéficient indistinctement à tous les modes de transport. La méthodologie détaillée pour la répartition de ces fonds, incluant les formules de calcul spécifiques, est exposée en détail dans l'Annexe 1 du rapport. Le partage des budgets selon les différentes clés de répartition se fait selon le processus présenté dans la figure à droite, plus de détails sont aussi inclus dans l’Annexe 1 du rapport. </t>
  </si>
  <si>
    <t>Description: Plusieurs coûts privés sont payés directement par les automobilistes. Le plus gros montant provient de l’achat des véhicules, ainsi que du stationnement et des assurances privées, dont nous avons extrait les coûts de l’enquête montréalaise sur les dépenses des ménages de 2016 et actualisés pour 2023 (Ville de Montréal, 2018). Le coût d’utilisation, incluant la consommation de carburant, l’usure des pneus, la dépréciation kilométrique et l’entretien pour un véhicule léger, est déterminé par la distance moyenne parcourue par les automobilistes telle que tirée des données de l’Enquête Origine-Destination, actualisé à 2023. Pour la partie achat du véhicule, seulement la proportion des coûts liés au déplacement domicile-travail/étude sur le kilométrage annuel a été prise en considération.  Par ailleurs, les coûts payés par les utilisateurs pour les permis de conduire et l’immatriculation sont aussi pris en compte. Une taxe est également perçue sur l’immatriculation des véhicules de promenade qui permet le financement des transports en commun. La contribution à l’assurance n’a pas été prise en compte puisque ce montant est inclus dans le coût interne des accidents. Même chose pour la taxe carbone, qui est inclus dans le coût de l'utilisation. Les coûts privés pour les cyclistes utilitaires sont reliés à l’achat de vélo, d’équipements, d’accessoires et de vêtements, le tout estimé avec les données du rapport sur l’État du vélo 2020 qui proviennent du sondage Vélo Québec (2023).
Nous n’avons pas considéré la partie de la population qui utilise les services d’économie de partage comme Communauto et BIXI. Les utilisateurs de Communauto peuvent voir une réduction de près de 50% du coût annuel privé (1300$ à 2500$ par année). Pour l’utilisation de BIXI à l’année, c’est un montant minimal de 250$ qui doit être déboursé. Un peu plus élevé que la moyenne du coût annuel d’un vélo, mais plus pratique en cas de manque d’espace de rangement.</t>
  </si>
  <si>
    <t>Description: Les seuls coûts privés proviennent de l’achat des titres de transport et nous avons extrait ce chiffre des budgets de l’ARTM et de la STM. Nous avons pris en compte une partie de l’achat des titres de EXO. Le service de trains étant beaucoup utilisé dans l’ouest de l’agglomération. Pour le fonctionnement du transport collectif, le financement des différents paliers du gouvernement passent en premier par l’ARTM et est distribué par entente de service avec les différents réseaux de transports, dont la STM et EXO. Le budget de l’ARTM comprend les subventions municipales (31%), les subventions provinciales (32%), les revenus des usagers (26%) , un programme d’aide d’urgence pour le transport collectif (5%) et la taxe des automobilistes (5%). De ce budget, près de 65% va à la STM et 19% va à EXO. Pour EXO, nous avons seulement considéré le service de train sur l’Île de Montréal. Pour EXO, nous avons seulement considéré le service de train sur l’Île de Montréal. Les déficits de la STM (383M$) et de EXO (27M$) pour 2023 n’ont pas été inclus dans le coût public du TC, puisqu’ils n’ont théoriquement pas encore été payés par les contribuables et le seront seulement dans les prochaines années. Si le gouvernement provincial s'engageait à payer la facture de ces déficits, le coût par km-personne augmenterait seulement de 18% à 0,60 $.</t>
  </si>
  <si>
    <t xml:space="preserve">Desciption:Du côté municipal, le budget de la ville de Montréal détaille tous les projets routiers de la métropole. Quelques éléments ont été seulement attribués à un mode de transport, tandis que d’autres ont été répartis selon la clef de répartition pertinente. Le budget comprend trois parties, une part pour l’agglomération, une part pour la municipalité et une dernière pour les arrondissements. Chaque partie a été attribuée selon la région. Les détails des calculs reliés aux budgets de fonctionnement, aux investissements et aux paiements de la dette à long terme sont inclus dans l’annexe 1 du rapport. </t>
  </si>
  <si>
    <t xml:space="preserve">Description: Les coûts indirects retenus sont reliés aux infrastructures routières. Ces coûts sont payés de façon indirecte par les impôts des particuliers et des entreprises. Pour le budget 2024-2025, c’est seulement 1,7% qui ira aux transports. Ça peut sembler peu, mais ça représente des investissements de près de 15 milliards de dollars par année pour l’ensemble du Québec. Pour l’année 2023, le Plan québécois des infrastructures du MTMD présente chacune des dépenses projetées pour le réseau routier de Montréal incluant les autoroutes, les routes, les tunnels, les ponts, les échangeurs et les viaducs. C’est près de 941 M$ alloué au réseau routier et 790 M$ au transport collectif pour le maintien et la bonification des actifs pour l’agglomération montréalaise. Pour les cyclistes, il y a un financement provincial pour la Route verte. Pour cette dernière, le financement a été pondéré selon le pourcentage de kilomètres de route sur l’île de Montréal. Il existe aussi un programme spécial du gouvernement provincial pour la conservation des structures de transports actifs. 
Du côté fédéral, les seuls investissements sont faits au niveau des infrastructures fédérales : le pont Jacques Cartier, l’autoroute Bonaventure, le pont Honoré-Mercier et la déconstruction du pont Champlain d’origine. Pour le fédéral comme le provincial, la plupart de ces routes ne sont pas utilisées par les piétons et les cyclistes utilitaires, toutes les dépenses ont donc été attribuées aux automobilistes. Il y a un financement fédéral pour l’estacade, une voie cyclable qui suit la voie maritime. Un petit financement est aussi alloué au transport en commun. </t>
  </si>
  <si>
    <t>*On peut aussi voir le coût total des GES en comptant aussi ceux liés à la congestion</t>
  </si>
  <si>
    <t>GES total (par année)</t>
  </si>
  <si>
    <t>Description: La congestion est considérée comme une externalité négative. Le rapport pour le ministère des Transports sur l’évaluation de la congestion dans la région de Montréal inclut quatre catégories de coûts supplémentaires dont le temps dans la congestion, l’utilisation de l’automobile (qui inclut le carburant) et les émissions de GES. Tous ces coûts ont été calculés de la même manière que les coûts sans congestion. Le temps dans la congestion vient des données de l’Enquête Origine-Destination combinées avec DistanceMatrix de Google API qui évalue le temps moyen de congestion selon le jour de la semaine et le temps de la journée. Pour simplifier, nous supposons que tous les trajets ont lieu à 8h30 du matin un lundi de semaine typique.</t>
  </si>
  <si>
    <t xml:space="preserve">Description: Le coût des accidents comprend deux parties, une partie interne et une externe. La partie interne provient des coûts reliés aux contributions d’assurances, le coût privé des accidents. C’est en partie l’argent remis aux particuliers lors d’accidents. La contribution d’assurance est payée par l’entremise des paiements de l’immatriculation et du permis de conduire. Depuis quelques années et encore pour l’année 2024, les titulaires d’un permis des classes 5 (véhicule de promenade) et 6 (motocyclette) – à l’exception des apprentis conducteurs – bénéficient d’un congé de paiement de la contribution d’assurance lors de la délivrance ou du renouvellement de leur permis. Ceci est dû à un excédent accumulé par les fonds d’assurance.  Pour le calcul des coûts internes des accidents, nous avons pris le montant maximum versé par les indemnités d’assurance de la SAAQ selon le type d’accident (mortelle, grave, léger). Et seulement les accidents comprenant un véhicule immatriculé sont remboursés par la SAAQ. Les données pour chaque mode de transport pour l’année 2022 ont été prises en compte. Le coût externe des accidents est calculé selon les montants proposés par le MTMD. Deux méthodes sont proposées par le ministère. La méthode du capital humain mesure la perte de production pour les ménages et les lieux de travail en raison des décès et des blessures. Il capture la valeur en termes de perte de productivité économique due à l’incapacité de travailler, de gagner un revenu ou de participer aux activités économiques du ménage. La méthode de la disposition à payer est utilisée pour déterminer la valeur monétaire de la diminution du taux d’accidents, qui correspond au montant maximum que les gens sont prêts à payer pour une diminution donnée du taux d’accidents. Pour les résultats finaux, nous avons gardé la méthode du capital humain pour ne pas surestimer les coûts reliés aux accidents. De plus, comme le propose le Victoria Transport Policy Institute, les accidents de la route impliquant des cyclistes ou des piétons sont principalement causés par les véhicules de la route. Nous avons donc pris en considération que seulement 5% des coûts externes sont attribués au vélo et à la marche. </t>
  </si>
  <si>
    <t>Description: Toutes les voies de circulation, tant les routes que les trottoirs prennent de la place dans l’espace public. Ces terrains ont une valeur foncière. Le coût pour l’emprise spatiale de chaque mode de transport peut être calculé en fonction du prix moyen des terrains par km2 de terrain dans chaque ville ou arrondissement, multiplié par la superficie utilisée par ce mode de transport. Ce coût est calculé avec les valeurs foncières des villes émises par le gouvernement, ainsi que la superficie terrestre des terrains de la ville. Puisque les terrains ne sont pas achetés à chaque année, on considère plutôt une forme de location des terrains. La valeur foncière par km2 est donc transformée en valeur locative annualisée. 
Nous avons aussi ajouté à l’automobile le coût de location des espaces de stationnements. Tous les terrains de type garages de stationnement pour automobiles, terrains de stationnement pour automobiles et stationnements extérieurs sont pris en compte. Ceci n'inclut pas le stationnement de rue, puisque celui-ci fait déjà partie de la surface de voirie. Ceci n'inclut pas non plus les espaces de stationnements intérieurs dans un immeuble à bureau. Ces terrains totalisent une valeur de location totale de 145 M$ par année et couvre une superficie de plus de 7,3 km2.</t>
  </si>
  <si>
    <t>Mobilité Montréal :  Les Coûts Sociaux des Transports</t>
  </si>
  <si>
    <t>function carburant</t>
  </si>
  <si>
    <t>a1</t>
  </si>
  <si>
    <t>a2</t>
  </si>
  <si>
    <t>a3</t>
  </si>
  <si>
    <t>a4</t>
  </si>
  <si>
    <t>(a1*v^2+a2*v+a3)/(v+a4)*km*2</t>
  </si>
  <si>
    <t>function utilisation</t>
  </si>
  <si>
    <t>Vitesse moyenne</t>
  </si>
  <si>
    <t>carburant</t>
  </si>
  <si>
    <t>utilisation</t>
  </si>
  <si>
    <t>temps congestion</t>
  </si>
  <si>
    <t>Vitesse moyenne congestion</t>
  </si>
  <si>
    <t>carburant - congestion</t>
  </si>
  <si>
    <t>utilisation - congestion</t>
  </si>
  <si>
    <t>communauto</t>
  </si>
  <si>
    <t>function communauto</t>
  </si>
  <si>
    <t>econo_frais_annuel</t>
  </si>
  <si>
    <t>aissez_passer_flex_20t</t>
  </si>
  <si>
    <t>BIXI</t>
  </si>
  <si>
    <t>cout_supp</t>
  </si>
  <si>
    <t>assurance</t>
  </si>
  <si>
    <t>frais_saison</t>
  </si>
  <si>
    <t>frais hiver</t>
  </si>
  <si>
    <t>km auto</t>
  </si>
  <si>
    <t>temps auto</t>
  </si>
  <si>
    <t>temps vélo</t>
  </si>
  <si>
    <t>Taxe carbone</t>
  </si>
  <si>
    <t>function GES+polluants</t>
  </si>
  <si>
    <t>Juste GES</t>
  </si>
  <si>
    <t>GES+polluants</t>
  </si>
  <si>
    <t>GES+polluants - congestion</t>
  </si>
  <si>
    <t>% GES / GES+polluants</t>
  </si>
  <si>
    <t>Auto (GES + polluants)</t>
  </si>
  <si>
    <t>Juste GES par personne</t>
  </si>
  <si>
    <t>GES ( kt CO2 eq. Par année)</t>
  </si>
  <si>
    <t>GES total (En kt CO2 eq. Par année)</t>
  </si>
  <si>
    <t>GES total (par personne par année)</t>
  </si>
  <si>
    <t>Taxe carbone 2023 ($/L)</t>
  </si>
  <si>
    <t xml:space="preserve">L'utilisation inclut: La consommation de carburant; L’usure des pneus; La dépréciation kilométrique; L’entretien. Pour un véhicule léger </t>
  </si>
  <si>
    <t>GES et polluants atmosphériques</t>
  </si>
  <si>
    <t>GES et polluants atmosphériques - Après</t>
  </si>
  <si>
    <t>GES et polluants atmosphériques - Avant</t>
  </si>
  <si>
    <t>Part modale kilométrique OD2018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</si>
</sst>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2">
    <numFmt numFmtId="44" formatCode="_(&quot;$&quot;* #,##0.00_);_(&quot;$&quot;* \(#,##0.00\);_(&quot;$&quot;* &quot;-&quot;??_);_(@_)"/>
    <numFmt numFmtId="43" formatCode="_(* #,##0.00_);_(* \(#,##0.00\);_(* &quot;-&quot;??_);_(@_)"/>
    <numFmt numFmtId="164" formatCode="0.000"/>
    <numFmt numFmtId="165" formatCode="0.0%"/>
    <numFmt numFmtId="166" formatCode="#,##0.00\ [$$-C0C]"/>
    <numFmt numFmtId="167" formatCode="#,##0.0000"/>
    <numFmt numFmtId="168" formatCode="_(&quot;$&quot;* #,##0_);_(&quot;$&quot;* \(#,##0\);_(&quot;$&quot;* &quot;-&quot;??_);_(@_)"/>
    <numFmt numFmtId="169" formatCode="0.0"/>
    <numFmt numFmtId="170" formatCode="0.0000%"/>
    <numFmt numFmtId="171" formatCode="#,##0.0;\-#,##0.0;&quot;-  &quot;"/>
    <numFmt numFmtId="172" formatCode="0.0000"/>
    <numFmt numFmtId="173" formatCode="0.000000"/>
    <numFmt numFmtId="174" formatCode="_(&quot;$&quot;* #,##0.00000_);_(&quot;$&quot;* \(#,##0.00000\);_(&quot;$&quot;* &quot;-&quot;??_);_(@_)"/>
    <numFmt numFmtId="175" formatCode="_(&quot;$&quot;* #,##0.000_);_(&quot;$&quot;* \(#,##0.000\);_(&quot;$&quot;* &quot;-&quot;??_);_(@_)"/>
    <numFmt numFmtId="176" formatCode="_(&quot;$&quot;* #,##0.0000_);_(&quot;$&quot;* \(#,##0.0000\);_(&quot;$&quot;* &quot;-&quot;??_);_(@_)"/>
    <numFmt numFmtId="177" formatCode="#,##0.000"/>
    <numFmt numFmtId="178" formatCode="0.000000%"/>
    <numFmt numFmtId="179" formatCode="0.00000"/>
    <numFmt numFmtId="180" formatCode="#,##0.0"/>
    <numFmt numFmtId="181" formatCode="_ * #,##0.00_)\ [$€-1]_ ;_ * \(#,##0.00\)\ [$€-1]_ ;_ * &quot;-&quot;??_)\ [$€-1]_ "/>
    <numFmt numFmtId="182" formatCode="* #,##0.0_);* \(#,##0.0\);_ * &quot;-&quot;?_);_ @_ "/>
    <numFmt numFmtId="183" formatCode="_(* #,##0.0_);_(* \(#,##0.0\);_(* &quot;-&quot;?_);_(@_)"/>
  </numFmts>
  <fonts count="76">
    <font>
      <sz val="12"/>
      <color theme="1"/>
      <name val="Calibri"/>
      <family val="2"/>
      <scheme val="minor"/>
    </font>
    <font>
      <sz val="12"/>
      <color theme="1"/>
      <name val="Calibri"/>
      <family val="2"/>
      <scheme val="minor"/>
    </font>
    <font>
      <b/>
      <sz val="12"/>
      <color theme="1"/>
      <name val="Calibri"/>
      <family val="2"/>
      <scheme val="minor"/>
    </font>
    <font>
      <sz val="36"/>
      <color theme="1"/>
      <name val="Calibri"/>
      <family val="2"/>
      <scheme val="minor"/>
    </font>
    <font>
      <u/>
      <sz val="12"/>
      <color theme="10"/>
      <name val="Calibri"/>
      <family val="2"/>
      <scheme val="minor"/>
    </font>
    <font>
      <b/>
      <i/>
      <sz val="12"/>
      <color theme="1"/>
      <name val="Calibri"/>
      <family val="2"/>
      <scheme val="minor"/>
    </font>
    <font>
      <sz val="11"/>
      <color theme="1"/>
      <name val="Calibri"/>
      <family val="2"/>
    </font>
    <font>
      <b/>
      <sz val="12"/>
      <color theme="1"/>
      <name val="Calibri"/>
      <family val="2"/>
    </font>
    <font>
      <sz val="12"/>
      <name val="Calibri"/>
      <family val="2"/>
    </font>
    <font>
      <b/>
      <sz val="11"/>
      <color theme="1"/>
      <name val="Calibri"/>
      <family val="2"/>
    </font>
    <font>
      <b/>
      <sz val="11"/>
      <color theme="0"/>
      <name val="Calibri"/>
      <family val="2"/>
    </font>
    <font>
      <sz val="11"/>
      <color theme="1"/>
      <name val="Calibri (Body)"/>
    </font>
    <font>
      <sz val="12"/>
      <color theme="1"/>
      <name val="Calibri (Body)"/>
    </font>
    <font>
      <i/>
      <sz val="11"/>
      <color theme="1"/>
      <name val="Calibri"/>
      <family val="2"/>
    </font>
    <font>
      <i/>
      <sz val="12"/>
      <color theme="1"/>
      <name val="Calibri"/>
      <family val="2"/>
    </font>
    <font>
      <sz val="12"/>
      <color rgb="FF000000"/>
      <name val="Calibri"/>
      <family val="2"/>
      <scheme val="minor"/>
    </font>
    <font>
      <i/>
      <sz val="12"/>
      <color theme="1"/>
      <name val="Calibri"/>
      <family val="2"/>
      <scheme val="minor"/>
    </font>
    <font>
      <i/>
      <u/>
      <sz val="12"/>
      <color theme="10"/>
      <name val="Calibri"/>
      <family val="2"/>
      <scheme val="minor"/>
    </font>
    <font>
      <i/>
      <sz val="12"/>
      <color theme="1"/>
      <name val="Calibri (Body)"/>
    </font>
    <font>
      <i/>
      <u/>
      <sz val="12"/>
      <color theme="10"/>
      <name val="Calibri (Body)"/>
    </font>
    <font>
      <sz val="12"/>
      <color theme="1"/>
      <name val="Calibri"/>
      <family val="2"/>
    </font>
    <font>
      <b/>
      <sz val="20"/>
      <color theme="1"/>
      <name val="Calibri"/>
      <family val="2"/>
      <scheme val="minor"/>
    </font>
    <font>
      <b/>
      <i/>
      <sz val="20"/>
      <color theme="1"/>
      <name val="Calibri"/>
      <family val="2"/>
      <scheme val="minor"/>
    </font>
    <font>
      <b/>
      <sz val="12"/>
      <color theme="1"/>
      <name val="Calibri (Body)"/>
    </font>
    <font>
      <sz val="12"/>
      <color rgb="FF000000"/>
      <name val="Calibri (Body)"/>
    </font>
    <font>
      <b/>
      <sz val="12"/>
      <name val="Calibri"/>
      <family val="2"/>
    </font>
    <font>
      <i/>
      <sz val="12"/>
      <color rgb="FF000000"/>
      <name val="Calibri"/>
      <family val="2"/>
      <scheme val="minor"/>
    </font>
    <font>
      <sz val="8"/>
      <color theme="1"/>
      <name val="Calibri"/>
      <family val="2"/>
      <scheme val="minor"/>
    </font>
    <font>
      <sz val="12"/>
      <color theme="2"/>
      <name val="Calibri"/>
      <family val="2"/>
      <scheme val="minor"/>
    </font>
    <font>
      <sz val="12"/>
      <name val="Calibri"/>
      <family val="2"/>
      <scheme val="minor"/>
    </font>
    <font>
      <u/>
      <sz val="12"/>
      <color rgb="FF0000FF"/>
      <name val="Calibri"/>
      <family val="2"/>
      <scheme val="minor"/>
    </font>
    <font>
      <b/>
      <sz val="12"/>
      <name val="Calibri"/>
      <family val="2"/>
      <scheme val="minor"/>
    </font>
    <font>
      <b/>
      <i/>
      <sz val="12"/>
      <color theme="1"/>
      <name val="Calibri"/>
      <family val="2"/>
    </font>
    <font>
      <b/>
      <i/>
      <sz val="20"/>
      <color theme="1"/>
      <name val="Calibri"/>
      <family val="2"/>
    </font>
    <font>
      <sz val="12"/>
      <color rgb="FFFF0000"/>
      <name val="Calibri"/>
      <family val="2"/>
      <scheme val="minor"/>
    </font>
    <font>
      <sz val="16"/>
      <color rgb="FF000000"/>
      <name val="Arial"/>
      <family val="2"/>
    </font>
    <font>
      <sz val="10"/>
      <color rgb="FFFFFFFF"/>
      <name val="Helvetica"/>
      <family val="2"/>
    </font>
    <font>
      <sz val="12"/>
      <color theme="5"/>
      <name val="Calibri"/>
      <family val="2"/>
      <scheme val="minor"/>
    </font>
    <font>
      <sz val="11"/>
      <color theme="1"/>
      <name val="Helvetica"/>
      <family val="2"/>
    </font>
    <font>
      <sz val="11"/>
      <color theme="1"/>
      <name val="Calibri"/>
      <family val="2"/>
      <scheme val="minor"/>
    </font>
    <font>
      <sz val="10"/>
      <color rgb="FF000000"/>
      <name val="Helvetica Neue"/>
      <family val="2"/>
    </font>
    <font>
      <sz val="14"/>
      <color rgb="FF515151"/>
      <name val="Arial"/>
      <family val="2"/>
    </font>
    <font>
      <b/>
      <sz val="10"/>
      <color rgb="FF000000"/>
      <name val="Helvetica Neue"/>
      <family val="2"/>
    </font>
    <font>
      <sz val="12"/>
      <color theme="4"/>
      <name val="Calibri"/>
      <family val="2"/>
      <scheme val="minor"/>
    </font>
    <font>
      <sz val="8"/>
      <name val="Calibri"/>
      <family val="2"/>
      <scheme val="minor"/>
    </font>
    <font>
      <sz val="10"/>
      <color theme="1"/>
      <name val="Helvetica"/>
      <family val="2"/>
    </font>
    <font>
      <sz val="9"/>
      <color theme="1"/>
      <name val="TimesNewRomanPSMT"/>
    </font>
    <font>
      <b/>
      <i/>
      <sz val="12"/>
      <color theme="1"/>
      <name val="Calibri (Body)"/>
    </font>
    <font>
      <b/>
      <u/>
      <sz val="12"/>
      <color theme="1"/>
      <name val="Calibri"/>
      <family val="2"/>
      <scheme val="minor"/>
    </font>
    <font>
      <sz val="10"/>
      <color theme="1"/>
      <name val="CIDFont+F2"/>
    </font>
    <font>
      <sz val="10"/>
      <color theme="1"/>
      <name val="CIDFont+F3"/>
    </font>
    <font>
      <sz val="12"/>
      <color theme="1"/>
      <name val="Helvetica"/>
      <family val="2"/>
    </font>
    <font>
      <sz val="10"/>
      <color theme="1"/>
      <name val="Times New Roman"/>
      <family val="1"/>
    </font>
    <font>
      <sz val="9"/>
      <color theme="1"/>
      <name val="Helvetica"/>
      <family val="2"/>
    </font>
    <font>
      <i/>
      <sz val="12"/>
      <name val="Calibri"/>
      <family val="2"/>
      <scheme val="minor"/>
    </font>
    <font>
      <b/>
      <i/>
      <sz val="12"/>
      <color theme="2"/>
      <name val="Calibri"/>
      <family val="2"/>
      <scheme val="minor"/>
    </font>
    <font>
      <sz val="12"/>
      <color theme="0"/>
      <name val="Calibri"/>
      <family val="2"/>
      <scheme val="minor"/>
    </font>
    <font>
      <b/>
      <i/>
      <sz val="12"/>
      <color rgb="FF000000"/>
      <name val="Calibri"/>
      <family val="2"/>
      <scheme val="minor"/>
    </font>
    <font>
      <b/>
      <sz val="10"/>
      <color theme="1"/>
      <name val="Calibri"/>
      <family val="2"/>
      <scheme val="minor"/>
    </font>
    <font>
      <b/>
      <sz val="7.5"/>
      <color rgb="FF000000"/>
      <name val="Arial"/>
      <family val="2"/>
    </font>
    <font>
      <sz val="7.5"/>
      <color rgb="FF000000"/>
      <name val="Arial"/>
      <family val="2"/>
    </font>
    <font>
      <u/>
      <sz val="12"/>
      <color theme="1"/>
      <name val="Calibri"/>
      <family val="2"/>
      <scheme val="minor"/>
    </font>
    <font>
      <sz val="10.199999999999999"/>
      <color rgb="FF000000"/>
      <name val="Aptos Narrow"/>
    </font>
    <font>
      <sz val="12"/>
      <color rgb="FF000000"/>
      <name val="Helvetica"/>
      <family val="2"/>
    </font>
    <font>
      <b/>
      <sz val="16"/>
      <color theme="1"/>
      <name val="Calibri"/>
      <family val="2"/>
      <scheme val="minor"/>
    </font>
    <font>
      <b/>
      <sz val="26"/>
      <color theme="1"/>
      <name val="Calibri"/>
      <family val="2"/>
      <scheme val="minor"/>
    </font>
    <font>
      <sz val="20"/>
      <color theme="1"/>
      <name val="Calibri"/>
      <family val="2"/>
      <scheme val="minor"/>
    </font>
    <font>
      <b/>
      <sz val="18"/>
      <color rgb="FFFF0000"/>
      <name val="Calibri"/>
      <family val="2"/>
      <scheme val="minor"/>
    </font>
    <font>
      <sz val="10"/>
      <name val="Arial"/>
      <family val="2"/>
    </font>
    <font>
      <sz val="10"/>
      <name val="Calibri"/>
      <family val="2"/>
    </font>
    <font>
      <b/>
      <sz val="10"/>
      <name val="Calibri"/>
      <family val="2"/>
    </font>
    <font>
      <b/>
      <sz val="12"/>
      <color rgb="FF000000"/>
      <name val="Calibri"/>
      <family val="2"/>
      <scheme val="minor"/>
    </font>
    <font>
      <b/>
      <sz val="12"/>
      <color rgb="FFFF0000"/>
      <name val="Calibri"/>
      <family val="2"/>
      <scheme val="minor"/>
    </font>
    <font>
      <b/>
      <sz val="12"/>
      <color theme="2"/>
      <name val="Calibri (Body)"/>
    </font>
    <font>
      <sz val="12"/>
      <color theme="2"/>
      <name val="Calibri (Body)"/>
    </font>
    <font>
      <b/>
      <sz val="12"/>
      <color theme="4"/>
      <name val="Calibri"/>
      <family val="2"/>
      <scheme val="minor"/>
    </font>
  </fonts>
  <fills count="28">
    <fill>
      <patternFill patternType="none"/>
    </fill>
    <fill>
      <patternFill patternType="gray125"/>
    </fill>
    <fill>
      <patternFill patternType="solid">
        <fgColor theme="2"/>
        <bgColor indexed="64"/>
      </patternFill>
    </fill>
    <fill>
      <patternFill patternType="solid">
        <fgColor rgb="FFF4B083"/>
        <bgColor rgb="FFF4B083"/>
      </patternFill>
    </fill>
    <fill>
      <patternFill patternType="solid">
        <fgColor rgb="FF9CC2E5"/>
        <bgColor rgb="FF9CC2E5"/>
      </patternFill>
    </fill>
    <fill>
      <patternFill patternType="solid">
        <fgColor rgb="FF92D050"/>
        <bgColor rgb="FF92D050"/>
      </patternFill>
    </fill>
    <fill>
      <patternFill patternType="solid">
        <fgColor rgb="FFFFD965"/>
        <bgColor rgb="FFFFD965"/>
      </patternFill>
    </fill>
    <fill>
      <patternFill patternType="solid">
        <fgColor rgb="FF7F7F7F"/>
        <bgColor rgb="FF7F7F7F"/>
      </patternFill>
    </fill>
    <fill>
      <patternFill patternType="solid">
        <fgColor rgb="FF92D050"/>
        <bgColor indexed="64"/>
      </patternFill>
    </fill>
    <fill>
      <patternFill patternType="solid">
        <fgColor theme="7"/>
        <bgColor indexed="64"/>
      </patternFill>
    </fill>
    <fill>
      <patternFill patternType="solid">
        <fgColor rgb="FFF4B182"/>
        <bgColor rgb="FFF4B083"/>
      </patternFill>
    </fill>
    <fill>
      <patternFill patternType="solid">
        <fgColor rgb="FFF4B182"/>
        <bgColor indexed="64"/>
      </patternFill>
    </fill>
    <fill>
      <patternFill patternType="solid">
        <fgColor rgb="FF99BFE1"/>
        <bgColor rgb="FF9CC2E5"/>
      </patternFill>
    </fill>
    <fill>
      <patternFill patternType="solid">
        <fgColor rgb="FF99BFE1"/>
        <bgColor indexed="64"/>
      </patternFill>
    </fill>
    <fill>
      <patternFill patternType="solid">
        <fgColor theme="7"/>
        <bgColor rgb="FFFFD965"/>
      </patternFill>
    </fill>
    <fill>
      <patternFill patternType="solid">
        <fgColor rgb="FFFDAACC"/>
        <bgColor indexed="64"/>
      </patternFill>
    </fill>
    <fill>
      <patternFill patternType="solid">
        <fgColor rgb="FFCCF2D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4" tint="0.79998168889431442"/>
        <bgColor indexed="64"/>
      </patternFill>
    </fill>
    <fill>
      <patternFill patternType="solid">
        <fgColor theme="2" tint="-9.9978637043366805E-2"/>
        <bgColor indexed="64"/>
      </patternFill>
    </fill>
    <fill>
      <patternFill patternType="solid">
        <fgColor rgb="FF99BFE1"/>
        <bgColor rgb="FFF4B083"/>
      </patternFill>
    </fill>
    <fill>
      <patternFill patternType="solid">
        <fgColor rgb="FF92D050"/>
        <bgColor rgb="FFF4B083"/>
      </patternFill>
    </fill>
    <fill>
      <patternFill patternType="solid">
        <fgColor theme="7"/>
        <bgColor rgb="FFF4B083"/>
      </patternFill>
    </fill>
    <fill>
      <patternFill patternType="solid">
        <fgColor theme="2" tint="-0.249977111117893"/>
        <bgColor indexed="64"/>
      </patternFill>
    </fill>
    <fill>
      <patternFill patternType="solid">
        <fgColor theme="3" tint="0.79998168889431442"/>
        <bgColor indexed="64"/>
      </patternFill>
    </fill>
    <fill>
      <patternFill patternType="solid">
        <fgColor rgb="FFE0BCFC"/>
        <bgColor indexed="64"/>
      </patternFill>
    </fill>
  </fills>
  <borders count="32">
    <border>
      <left/>
      <right/>
      <top/>
      <bottom/>
      <diagonal/>
    </border>
    <border>
      <left style="thin">
        <color indexed="64"/>
      </left>
      <right/>
      <top/>
      <bottom/>
      <diagonal/>
    </border>
    <border>
      <left/>
      <right style="thin">
        <color indexed="64"/>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bottom style="medium">
        <color indexed="64"/>
      </bottom>
      <diagonal/>
    </border>
    <border>
      <left/>
      <right/>
      <top/>
      <bottom style="double">
        <color indexed="64"/>
      </bottom>
      <diagonal/>
    </border>
    <border>
      <left/>
      <right style="thin">
        <color indexed="64"/>
      </right>
      <top style="medium">
        <color indexed="64"/>
      </top>
      <bottom/>
      <diagonal/>
    </border>
    <border>
      <left/>
      <right/>
      <top/>
      <bottom style="thin">
        <color rgb="FF000000"/>
      </bottom>
      <diagonal/>
    </border>
    <border>
      <left/>
      <right/>
      <top style="thin">
        <color indexed="64"/>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style="thin">
        <color rgb="FF000000"/>
      </left>
      <right/>
      <top style="thin">
        <color rgb="FF000000"/>
      </top>
      <bottom style="medium">
        <color indexed="64"/>
      </bottom>
      <diagonal/>
    </border>
    <border>
      <left style="thin">
        <color indexed="64"/>
      </left>
      <right/>
      <top style="medium">
        <color indexed="64"/>
      </top>
      <bottom/>
      <diagonal/>
    </border>
    <border>
      <left style="thin">
        <color indexed="64"/>
      </left>
      <right style="thin">
        <color indexed="64"/>
      </right>
      <top style="thin">
        <color indexed="64"/>
      </top>
      <bottom/>
      <diagonal/>
    </border>
    <border>
      <left style="thin">
        <color indexed="64"/>
      </left>
      <right/>
      <top/>
      <bottom style="double">
        <color indexed="64"/>
      </bottom>
      <diagonal/>
    </border>
  </borders>
  <cellStyleXfs count="7">
    <xf numFmtId="0" fontId="0" fillId="0" borderId="0"/>
    <xf numFmtId="44" fontId="1" fillId="0" borderId="0" applyFont="0" applyFill="0" applyBorder="0" applyAlignment="0" applyProtection="0"/>
    <xf numFmtId="9" fontId="1" fillId="0" borderId="0" applyFont="0" applyFill="0" applyBorder="0" applyAlignment="0" applyProtection="0"/>
    <xf numFmtId="0" fontId="4" fillId="0" borderId="0" applyNumberFormat="0" applyFill="0" applyBorder="0" applyAlignment="0" applyProtection="0"/>
    <xf numFmtId="0" fontId="39" fillId="0" borderId="0"/>
    <xf numFmtId="181" fontId="68" fillId="0" borderId="0"/>
    <xf numFmtId="0" fontId="68" fillId="0" borderId="0"/>
  </cellStyleXfs>
  <cellXfs count="722">
    <xf numFmtId="0" fontId="0" fillId="0" borderId="0" xfId="0"/>
    <xf numFmtId="0" fontId="0" fillId="0" borderId="0" xfId="0" applyAlignment="1">
      <alignment horizontal="center"/>
    </xf>
    <xf numFmtId="0" fontId="3" fillId="0" borderId="0" xfId="0" applyFont="1"/>
    <xf numFmtId="0" fontId="2" fillId="0" borderId="0" xfId="0" applyFont="1"/>
    <xf numFmtId="0" fontId="0" fillId="0" borderId="0" xfId="0" applyAlignment="1">
      <alignment horizontal="center" vertical="center"/>
    </xf>
    <xf numFmtId="0" fontId="0" fillId="0" borderId="12" xfId="0" applyBorder="1" applyAlignment="1">
      <alignment horizontal="center"/>
    </xf>
    <xf numFmtId="0" fontId="0" fillId="0" borderId="13" xfId="0" applyBorder="1" applyAlignment="1">
      <alignment horizontal="center"/>
    </xf>
    <xf numFmtId="0" fontId="0" fillId="0" borderId="14" xfId="0" applyBorder="1" applyAlignment="1">
      <alignment horizontal="center"/>
    </xf>
    <xf numFmtId="0" fontId="5" fillId="0" borderId="0" xfId="0" applyFont="1"/>
    <xf numFmtId="0" fontId="6" fillId="0" borderId="0" xfId="0" applyFont="1"/>
    <xf numFmtId="0" fontId="9" fillId="0" borderId="0" xfId="0" applyFont="1"/>
    <xf numFmtId="0" fontId="6" fillId="0" borderId="0" xfId="0" applyFont="1" applyAlignment="1">
      <alignment wrapText="1"/>
    </xf>
    <xf numFmtId="0" fontId="6" fillId="0" borderId="0" xfId="0" applyFont="1" applyAlignment="1">
      <alignment vertical="center"/>
    </xf>
    <xf numFmtId="0" fontId="11" fillId="0" borderId="0" xfId="0" applyFont="1"/>
    <xf numFmtId="0" fontId="12" fillId="0" borderId="0" xfId="0" applyFont="1"/>
    <xf numFmtId="10" fontId="6" fillId="0" borderId="0" xfId="0" applyNumberFormat="1" applyFont="1" applyAlignment="1">
      <alignment vertical="center"/>
    </xf>
    <xf numFmtId="9" fontId="0" fillId="0" borderId="0" xfId="2" applyFont="1"/>
    <xf numFmtId="10" fontId="0" fillId="0" borderId="0" xfId="2" applyNumberFormat="1" applyFont="1"/>
    <xf numFmtId="0" fontId="4" fillId="0" borderId="0" xfId="3" applyFill="1" applyBorder="1" applyAlignment="1">
      <alignment horizontal="right" vertical="center" wrapText="1"/>
    </xf>
    <xf numFmtId="0" fontId="0" fillId="0" borderId="0" xfId="0" applyAlignment="1">
      <alignment horizontal="right"/>
    </xf>
    <xf numFmtId="2" fontId="0" fillId="0" borderId="0" xfId="0" applyNumberFormat="1"/>
    <xf numFmtId="1" fontId="0" fillId="0" borderId="0" xfId="0" applyNumberFormat="1"/>
    <xf numFmtId="0" fontId="13" fillId="0" borderId="0" xfId="0" applyFont="1" applyAlignment="1">
      <alignment horizontal="right" vertical="center" wrapText="1"/>
    </xf>
    <xf numFmtId="0" fontId="16" fillId="0" borderId="0" xfId="0" applyFont="1"/>
    <xf numFmtId="0" fontId="0" fillId="0" borderId="0" xfId="0" applyAlignment="1">
      <alignment horizontal="left" wrapText="1"/>
    </xf>
    <xf numFmtId="0" fontId="0" fillId="0" borderId="0" xfId="0" applyAlignment="1">
      <alignment horizontal="left"/>
    </xf>
    <xf numFmtId="0" fontId="17" fillId="0" borderId="0" xfId="3" applyFont="1" applyFill="1" applyBorder="1" applyAlignment="1">
      <alignment horizontal="right" vertical="center" wrapText="1"/>
    </xf>
    <xf numFmtId="0" fontId="18" fillId="0" borderId="0" xfId="0" applyFont="1" applyAlignment="1">
      <alignment horizontal="right" vertical="center" wrapText="1"/>
    </xf>
    <xf numFmtId="0" fontId="18" fillId="0" borderId="0" xfId="0" applyFont="1"/>
    <xf numFmtId="0" fontId="19" fillId="0" borderId="0" xfId="3" applyFont="1" applyFill="1" applyBorder="1" applyAlignment="1">
      <alignment horizontal="right" vertical="center" wrapText="1"/>
    </xf>
    <xf numFmtId="0" fontId="9" fillId="0" borderId="0" xfId="0" applyFont="1" applyAlignment="1">
      <alignment vertical="center" wrapText="1"/>
    </xf>
    <xf numFmtId="0" fontId="6" fillId="5" borderId="0" xfId="0" applyFont="1" applyFill="1" applyAlignment="1">
      <alignment vertical="center" wrapText="1"/>
    </xf>
    <xf numFmtId="3" fontId="6" fillId="5" borderId="0" xfId="0" applyNumberFormat="1" applyFont="1" applyFill="1" applyAlignment="1">
      <alignment vertical="center"/>
    </xf>
    <xf numFmtId="0" fontId="6" fillId="6" borderId="0" xfId="0" applyFont="1" applyFill="1" applyAlignment="1">
      <alignment vertical="center" wrapText="1"/>
    </xf>
    <xf numFmtId="3" fontId="6" fillId="6" borderId="0" xfId="0" applyNumberFormat="1" applyFont="1" applyFill="1" applyAlignment="1">
      <alignment vertical="center"/>
    </xf>
    <xf numFmtId="0" fontId="6" fillId="3" borderId="0" xfId="0" applyFont="1" applyFill="1" applyAlignment="1">
      <alignment vertical="center" wrapText="1"/>
    </xf>
    <xf numFmtId="3" fontId="6" fillId="3" borderId="0" xfId="0" applyNumberFormat="1" applyFont="1" applyFill="1" applyAlignment="1">
      <alignment vertical="center"/>
    </xf>
    <xf numFmtId="3" fontId="13" fillId="0" borderId="0" xfId="0" applyNumberFormat="1" applyFont="1" applyAlignment="1">
      <alignment horizontal="left" vertical="center"/>
    </xf>
    <xf numFmtId="0" fontId="10" fillId="7" borderId="0" xfId="0" applyFont="1" applyFill="1" applyAlignment="1">
      <alignment vertical="center" wrapText="1"/>
    </xf>
    <xf numFmtId="3" fontId="10" fillId="7" borderId="0" xfId="0" applyNumberFormat="1" applyFont="1" applyFill="1" applyAlignment="1">
      <alignment vertical="center"/>
    </xf>
    <xf numFmtId="0" fontId="20" fillId="0" borderId="0" xfId="0" applyFont="1" applyAlignment="1">
      <alignment vertical="center"/>
    </xf>
    <xf numFmtId="10" fontId="20" fillId="0" borderId="0" xfId="0" applyNumberFormat="1" applyFont="1" applyAlignment="1">
      <alignment vertical="center"/>
    </xf>
    <xf numFmtId="4" fontId="20" fillId="0" borderId="0" xfId="0" applyNumberFormat="1" applyFont="1" applyAlignment="1">
      <alignment vertical="center"/>
    </xf>
    <xf numFmtId="0" fontId="20" fillId="0" borderId="0" xfId="0" applyFont="1" applyAlignment="1">
      <alignment horizontal="right" vertical="center"/>
    </xf>
    <xf numFmtId="0" fontId="20" fillId="0" borderId="0" xfId="0" applyFont="1" applyAlignment="1">
      <alignment horizontal="right" vertical="center" wrapText="1"/>
    </xf>
    <xf numFmtId="0" fontId="17" fillId="0" borderId="0" xfId="3" applyFont="1" applyAlignment="1">
      <alignment horizontal="right"/>
    </xf>
    <xf numFmtId="0" fontId="14" fillId="0" borderId="0" xfId="0" applyFont="1" applyAlignment="1">
      <alignment horizontal="right" vertical="center" wrapText="1"/>
    </xf>
    <xf numFmtId="0" fontId="21" fillId="0" borderId="0" xfId="0" applyFont="1"/>
    <xf numFmtId="0" fontId="22" fillId="0" borderId="0" xfId="0" applyFont="1"/>
    <xf numFmtId="0" fontId="12" fillId="0" borderId="0" xfId="0" applyFont="1" applyAlignment="1">
      <alignment vertical="center"/>
    </xf>
    <xf numFmtId="166" fontId="12" fillId="0" borderId="0" xfId="0" applyNumberFormat="1" applyFont="1" applyAlignment="1">
      <alignment vertical="center"/>
    </xf>
    <xf numFmtId="2" fontId="12" fillId="0" borderId="0" xfId="0" applyNumberFormat="1" applyFont="1" applyAlignment="1">
      <alignment vertical="center"/>
    </xf>
    <xf numFmtId="0" fontId="0" fillId="0" borderId="0" xfId="0" applyAlignment="1">
      <alignment vertical="center"/>
    </xf>
    <xf numFmtId="44" fontId="0" fillId="0" borderId="0" xfId="1" applyFont="1"/>
    <xf numFmtId="44" fontId="0" fillId="0" borderId="0" xfId="0" applyNumberFormat="1"/>
    <xf numFmtId="3" fontId="7" fillId="3" borderId="18" xfId="0" applyNumberFormat="1" applyFont="1" applyFill="1" applyBorder="1" applyAlignment="1">
      <alignment horizontal="center" vertical="center" wrapText="1"/>
    </xf>
    <xf numFmtId="0" fontId="7" fillId="4" borderId="18" xfId="0" applyFont="1" applyFill="1" applyBorder="1" applyAlignment="1">
      <alignment vertical="center" wrapText="1"/>
    </xf>
    <xf numFmtId="0" fontId="25" fillId="8" borderId="10" xfId="0" applyFont="1" applyFill="1" applyBorder="1" applyAlignment="1">
      <alignment horizontal="center" vertical="center"/>
    </xf>
    <xf numFmtId="0" fontId="2" fillId="9" borderId="10" xfId="0" applyFont="1" applyFill="1" applyBorder="1" applyAlignment="1">
      <alignment horizontal="center" vertical="center"/>
    </xf>
    <xf numFmtId="44" fontId="2" fillId="0" borderId="0" xfId="0" applyNumberFormat="1" applyFont="1"/>
    <xf numFmtId="166" fontId="24" fillId="0" borderId="0" xfId="0" applyNumberFormat="1" applyFont="1" applyAlignment="1">
      <alignment horizontal="right"/>
    </xf>
    <xf numFmtId="166" fontId="12" fillId="0" borderId="0" xfId="0" applyNumberFormat="1" applyFont="1"/>
    <xf numFmtId="0" fontId="4" fillId="0" borderId="0" xfId="3" applyAlignment="1">
      <alignment horizontal="right"/>
    </xf>
    <xf numFmtId="0" fontId="15" fillId="0" borderId="0" xfId="0" applyFont="1" applyAlignment="1">
      <alignment horizontal="right"/>
    </xf>
    <xf numFmtId="0" fontId="0" fillId="0" borderId="0" xfId="0" applyAlignment="1">
      <alignment vertical="center" wrapText="1"/>
    </xf>
    <xf numFmtId="166" fontId="15" fillId="0" borderId="0" xfId="0" applyNumberFormat="1" applyFont="1"/>
    <xf numFmtId="0" fontId="0" fillId="0" borderId="0" xfId="0" applyAlignment="1">
      <alignment horizontal="right" vertical="center" wrapText="1"/>
    </xf>
    <xf numFmtId="44" fontId="15" fillId="0" borderId="0" xfId="1" applyFont="1" applyBorder="1"/>
    <xf numFmtId="44" fontId="0" fillId="0" borderId="0" xfId="1" applyFont="1" applyBorder="1" applyAlignment="1">
      <alignment vertical="center"/>
    </xf>
    <xf numFmtId="3" fontId="7" fillId="3" borderId="0" xfId="0" applyNumberFormat="1" applyFont="1" applyFill="1" applyAlignment="1">
      <alignment horizontal="center" vertical="center" wrapText="1"/>
    </xf>
    <xf numFmtId="0" fontId="25" fillId="8" borderId="0" xfId="0" applyFont="1" applyFill="1" applyAlignment="1">
      <alignment horizontal="center" vertical="center"/>
    </xf>
    <xf numFmtId="0" fontId="2" fillId="9" borderId="0" xfId="0" applyFont="1" applyFill="1" applyAlignment="1">
      <alignment horizontal="center" vertical="center"/>
    </xf>
    <xf numFmtId="0" fontId="7" fillId="4" borderId="0" xfId="0" applyFont="1" applyFill="1" applyAlignment="1">
      <alignment horizontal="center" vertical="center" wrapText="1"/>
    </xf>
    <xf numFmtId="44" fontId="2" fillId="0" borderId="0" xfId="1" applyFont="1" applyBorder="1" applyAlignment="1">
      <alignment vertical="center"/>
    </xf>
    <xf numFmtId="2" fontId="0" fillId="0" borderId="0" xfId="0" applyNumberFormat="1" applyAlignment="1">
      <alignment vertical="center"/>
    </xf>
    <xf numFmtId="0" fontId="2" fillId="0" borderId="0" xfId="0" applyFont="1" applyAlignment="1">
      <alignment vertical="center"/>
    </xf>
    <xf numFmtId="2" fontId="0" fillId="0" borderId="0" xfId="2" applyNumberFormat="1" applyFont="1" applyBorder="1" applyAlignment="1">
      <alignment vertical="center"/>
    </xf>
    <xf numFmtId="3" fontId="0" fillId="0" borderId="0" xfId="0" applyNumberFormat="1"/>
    <xf numFmtId="0" fontId="12" fillId="0" borderId="0" xfId="0" applyFont="1" applyAlignment="1">
      <alignment horizontal="right"/>
    </xf>
    <xf numFmtId="0" fontId="2" fillId="0" borderId="0" xfId="0" applyFont="1" applyAlignment="1">
      <alignment horizontal="center" vertical="center" wrapText="1"/>
    </xf>
    <xf numFmtId="0" fontId="16" fillId="0" borderId="0" xfId="0" applyFont="1" applyAlignment="1">
      <alignment horizontal="right"/>
    </xf>
    <xf numFmtId="3" fontId="7" fillId="3" borderId="18" xfId="0" applyNumberFormat="1" applyFont="1" applyFill="1" applyBorder="1" applyAlignment="1">
      <alignment horizontal="center" vertical="center"/>
    </xf>
    <xf numFmtId="0" fontId="7" fillId="4" borderId="18" xfId="0" applyFont="1" applyFill="1" applyBorder="1" applyAlignment="1">
      <alignment vertical="center"/>
    </xf>
    <xf numFmtId="0" fontId="15" fillId="0" borderId="0" xfId="0" applyFont="1"/>
    <xf numFmtId="0" fontId="2" fillId="0" borderId="0" xfId="0" applyFont="1" applyAlignment="1">
      <alignment horizontal="right" vertical="center" wrapText="1"/>
    </xf>
    <xf numFmtId="0" fontId="15" fillId="0" borderId="19" xfId="0" applyFont="1" applyBorder="1"/>
    <xf numFmtId="0" fontId="26" fillId="0" borderId="0" xfId="0" applyFont="1"/>
    <xf numFmtId="0" fontId="0" fillId="0" borderId="0" xfId="0" applyAlignment="1">
      <alignment horizontal="right" vertical="center"/>
    </xf>
    <xf numFmtId="0" fontId="0" fillId="0" borderId="0" xfId="1" applyNumberFormat="1" applyFont="1"/>
    <xf numFmtId="0" fontId="17" fillId="0" borderId="0" xfId="3" applyFont="1" applyFill="1" applyBorder="1" applyAlignment="1">
      <alignment horizontal="right"/>
    </xf>
    <xf numFmtId="3" fontId="0" fillId="11" borderId="1" xfId="0" applyNumberFormat="1" applyFill="1" applyBorder="1"/>
    <xf numFmtId="3" fontId="0" fillId="13" borderId="1" xfId="0" applyNumberFormat="1" applyFill="1" applyBorder="1"/>
    <xf numFmtId="3" fontId="0" fillId="9" borderId="1" xfId="0" applyNumberFormat="1" applyFill="1" applyBorder="1"/>
    <xf numFmtId="0" fontId="2" fillId="11" borderId="10" xfId="0" applyFont="1" applyFill="1" applyBorder="1" applyAlignment="1">
      <alignment horizontal="center"/>
    </xf>
    <xf numFmtId="0" fontId="2" fillId="13" borderId="10" xfId="0" applyFont="1" applyFill="1" applyBorder="1" applyAlignment="1">
      <alignment horizontal="center"/>
    </xf>
    <xf numFmtId="0" fontId="7" fillId="4" borderId="18" xfId="0" applyFont="1" applyFill="1" applyBorder="1" applyAlignment="1">
      <alignment horizontal="center" vertical="center" wrapText="1"/>
    </xf>
    <xf numFmtId="0" fontId="27" fillId="0" borderId="0" xfId="0" applyFont="1"/>
    <xf numFmtId="44" fontId="0" fillId="0" borderId="10" xfId="1" applyFont="1" applyBorder="1"/>
    <xf numFmtId="44" fontId="2" fillId="0" borderId="0" xfId="1" applyFont="1"/>
    <xf numFmtId="0" fontId="2" fillId="0" borderId="10" xfId="0" applyFont="1" applyBorder="1" applyAlignment="1">
      <alignment wrapText="1"/>
    </xf>
    <xf numFmtId="0" fontId="2" fillId="0" borderId="10" xfId="0" applyFont="1" applyBorder="1" applyAlignment="1">
      <alignment horizontal="center" wrapText="1"/>
    </xf>
    <xf numFmtId="0" fontId="12" fillId="0" borderId="20" xfId="0" applyFont="1" applyBorder="1" applyAlignment="1">
      <alignment horizontal="right" vertical="center" wrapText="1"/>
    </xf>
    <xf numFmtId="0" fontId="12" fillId="0" borderId="2" xfId="0" applyFont="1" applyBorder="1" applyAlignment="1">
      <alignment horizontal="right" vertical="center" wrapText="1"/>
    </xf>
    <xf numFmtId="0" fontId="12" fillId="0" borderId="2" xfId="0" applyFont="1" applyBorder="1" applyAlignment="1">
      <alignment horizontal="right"/>
    </xf>
    <xf numFmtId="0" fontId="4" fillId="0" borderId="0" xfId="3" applyBorder="1" applyAlignment="1">
      <alignment horizontal="right"/>
    </xf>
    <xf numFmtId="0" fontId="17" fillId="0" borderId="0" xfId="3" applyFont="1" applyBorder="1" applyAlignment="1">
      <alignment horizontal="right"/>
    </xf>
    <xf numFmtId="44" fontId="0" fillId="2" borderId="0" xfId="1" applyFont="1" applyFill="1"/>
    <xf numFmtId="0" fontId="2" fillId="0" borderId="0" xfId="0" applyFont="1" applyAlignment="1">
      <alignment horizontal="right"/>
    </xf>
    <xf numFmtId="0" fontId="2" fillId="0" borderId="0" xfId="0" applyFont="1" applyAlignment="1">
      <alignment horizontal="center"/>
    </xf>
    <xf numFmtId="3" fontId="28" fillId="0" borderId="0" xfId="0" applyNumberFormat="1" applyFont="1"/>
    <xf numFmtId="0" fontId="2" fillId="0" borderId="0" xfId="1" applyNumberFormat="1" applyFont="1" applyAlignment="1">
      <alignment horizontal="center"/>
    </xf>
    <xf numFmtId="0" fontId="0" fillId="0" borderId="0" xfId="0" applyAlignment="1">
      <alignment horizontal="right" wrapText="1"/>
    </xf>
    <xf numFmtId="44" fontId="0" fillId="0" borderId="0" xfId="1" applyFont="1" applyBorder="1"/>
    <xf numFmtId="44" fontId="2" fillId="0" borderId="0" xfId="1" applyFont="1" applyBorder="1"/>
    <xf numFmtId="0" fontId="0" fillId="0" borderId="0" xfId="0" applyAlignment="1">
      <alignment wrapText="1"/>
    </xf>
    <xf numFmtId="167" fontId="0" fillId="0" borderId="0" xfId="0" applyNumberFormat="1"/>
    <xf numFmtId="164" fontId="0" fillId="0" borderId="0" xfId="0" applyNumberFormat="1"/>
    <xf numFmtId="44" fontId="0" fillId="0" borderId="0" xfId="1" applyFont="1" applyAlignment="1">
      <alignment vertical="center"/>
    </xf>
    <xf numFmtId="0" fontId="16" fillId="0" borderId="0" xfId="0" applyFont="1" applyAlignment="1">
      <alignment horizontal="right" wrapText="1"/>
    </xf>
    <xf numFmtId="0" fontId="17" fillId="0" borderId="0" xfId="3" applyFont="1" applyAlignment="1">
      <alignment horizontal="right" wrapText="1"/>
    </xf>
    <xf numFmtId="168" fontId="0" fillId="0" borderId="0" xfId="1" applyNumberFormat="1" applyFont="1" applyAlignment="1"/>
    <xf numFmtId="168" fontId="0" fillId="0" borderId="0" xfId="1" applyNumberFormat="1" applyFont="1" applyAlignment="1">
      <alignment wrapText="1"/>
    </xf>
    <xf numFmtId="0" fontId="18" fillId="0" borderId="0" xfId="0" applyFont="1" applyAlignment="1">
      <alignment horizontal="center"/>
    </xf>
    <xf numFmtId="0" fontId="0" fillId="0" borderId="0" xfId="0" applyAlignment="1">
      <alignment horizontal="left" vertical="center"/>
    </xf>
    <xf numFmtId="0" fontId="2" fillId="0" borderId="0" xfId="0" applyFont="1" applyAlignment="1">
      <alignment horizontal="left"/>
    </xf>
    <xf numFmtId="0" fontId="0" fillId="15" borderId="0" xfId="0" applyFill="1"/>
    <xf numFmtId="0" fontId="0" fillId="16" borderId="0" xfId="0" applyFill="1"/>
    <xf numFmtId="0" fontId="0" fillId="17" borderId="0" xfId="0" applyFill="1"/>
    <xf numFmtId="0" fontId="0" fillId="15" borderId="0" xfId="0" applyFill="1" applyAlignment="1">
      <alignment horizontal="right"/>
    </xf>
    <xf numFmtId="44" fontId="0" fillId="15" borderId="0" xfId="0" applyNumberFormat="1" applyFill="1"/>
    <xf numFmtId="0" fontId="0" fillId="17" borderId="0" xfId="0" applyFill="1" applyAlignment="1">
      <alignment horizontal="right"/>
    </xf>
    <xf numFmtId="44" fontId="0" fillId="17" borderId="0" xfId="0" applyNumberFormat="1" applyFill="1"/>
    <xf numFmtId="166" fontId="0" fillId="0" borderId="0" xfId="0" applyNumberFormat="1"/>
    <xf numFmtId="166" fontId="0" fillId="0" borderId="0" xfId="0" applyNumberFormat="1" applyAlignment="1">
      <alignment vertical="center" wrapText="1"/>
    </xf>
    <xf numFmtId="9" fontId="0" fillId="0" borderId="0" xfId="2" applyFont="1" applyBorder="1"/>
    <xf numFmtId="0" fontId="2" fillId="9" borderId="11" xfId="0" applyFont="1" applyFill="1" applyBorder="1" applyAlignment="1">
      <alignment horizontal="center" vertical="center"/>
    </xf>
    <xf numFmtId="0" fontId="30" fillId="0" borderId="0" xfId="0" applyFont="1" applyAlignment="1">
      <alignment horizontal="center" vertical="center" wrapText="1"/>
    </xf>
    <xf numFmtId="0" fontId="30" fillId="0" borderId="0" xfId="0" applyFont="1" applyAlignment="1">
      <alignment horizontal="center" vertical="center"/>
    </xf>
    <xf numFmtId="0" fontId="0" fillId="0" borderId="0" xfId="0" applyAlignment="1">
      <alignment horizontal="center" vertical="center" wrapText="1"/>
    </xf>
    <xf numFmtId="3" fontId="2" fillId="3" borderId="9" xfId="0" applyNumberFormat="1" applyFont="1" applyFill="1" applyBorder="1" applyAlignment="1">
      <alignment horizontal="center" vertical="center" wrapText="1"/>
    </xf>
    <xf numFmtId="0" fontId="2" fillId="4" borderId="10" xfId="0" applyFont="1" applyFill="1" applyBorder="1" applyAlignment="1">
      <alignment vertical="center" wrapText="1"/>
    </xf>
    <xf numFmtId="0" fontId="31" fillId="8" borderId="10" xfId="0" applyFont="1" applyFill="1" applyBorder="1" applyAlignment="1">
      <alignment horizontal="center" vertical="center"/>
    </xf>
    <xf numFmtId="10" fontId="0" fillId="0" borderId="0" xfId="0" applyNumberFormat="1"/>
    <xf numFmtId="4" fontId="0" fillId="0" borderId="0" xfId="0" applyNumberFormat="1"/>
    <xf numFmtId="0" fontId="32" fillId="0" borderId="0" xfId="0" applyFont="1" applyAlignment="1">
      <alignment vertical="top" wrapText="1"/>
    </xf>
    <xf numFmtId="0" fontId="20" fillId="3" borderId="0" xfId="0" applyFont="1" applyFill="1" applyAlignment="1">
      <alignment horizontal="center" vertical="center"/>
    </xf>
    <xf numFmtId="0" fontId="20" fillId="4" borderId="0" xfId="0" applyFont="1" applyFill="1" applyAlignment="1">
      <alignment horizontal="center" vertical="center"/>
    </xf>
    <xf numFmtId="0" fontId="20" fillId="5" borderId="0" xfId="0" applyFont="1" applyFill="1" applyAlignment="1">
      <alignment horizontal="center" vertical="center"/>
    </xf>
    <xf numFmtId="0" fontId="20" fillId="6" borderId="0" xfId="0" applyFont="1" applyFill="1" applyAlignment="1">
      <alignment horizontal="center" vertical="center"/>
    </xf>
    <xf numFmtId="165" fontId="0" fillId="0" borderId="0" xfId="0" applyNumberFormat="1" applyAlignment="1">
      <alignment horizontal="right" vertical="center"/>
    </xf>
    <xf numFmtId="0" fontId="0" fillId="18" borderId="0" xfId="0" applyFill="1"/>
    <xf numFmtId="0" fontId="0" fillId="0" borderId="19" xfId="0" applyBorder="1"/>
    <xf numFmtId="0" fontId="32" fillId="0" borderId="0" xfId="0" applyFont="1" applyAlignment="1">
      <alignment horizontal="right" vertical="top" wrapText="1"/>
    </xf>
    <xf numFmtId="0" fontId="32" fillId="0" borderId="0" xfId="0" applyFont="1" applyAlignment="1">
      <alignment horizontal="right" vertical="center" wrapText="1"/>
    </xf>
    <xf numFmtId="0" fontId="2" fillId="0" borderId="9" xfId="0" applyFont="1" applyBorder="1" applyAlignment="1">
      <alignment horizontal="center" wrapText="1"/>
    </xf>
    <xf numFmtId="44" fontId="0" fillId="0" borderId="1" xfId="1" applyFont="1" applyBorder="1"/>
    <xf numFmtId="44" fontId="0" fillId="0" borderId="0" xfId="1" applyFont="1" applyBorder="1" applyAlignment="1">
      <alignment vertical="center" wrapText="1"/>
    </xf>
    <xf numFmtId="44" fontId="0" fillId="2" borderId="2" xfId="1" applyFont="1" applyFill="1" applyBorder="1"/>
    <xf numFmtId="44" fontId="0" fillId="2" borderId="1" xfId="1" applyFont="1" applyFill="1" applyBorder="1"/>
    <xf numFmtId="165" fontId="0" fillId="0" borderId="0" xfId="2" applyNumberFormat="1" applyFont="1"/>
    <xf numFmtId="1" fontId="0" fillId="0" borderId="0" xfId="1" applyNumberFormat="1" applyFont="1"/>
    <xf numFmtId="44" fontId="2" fillId="11" borderId="0" xfId="1" applyFont="1" applyFill="1" applyBorder="1"/>
    <xf numFmtId="44" fontId="2" fillId="11" borderId="2" xfId="1" applyFont="1" applyFill="1" applyBorder="1"/>
    <xf numFmtId="3" fontId="0" fillId="8" borderId="0" xfId="0" applyNumberFormat="1" applyFill="1"/>
    <xf numFmtId="2" fontId="0" fillId="8" borderId="0" xfId="0" applyNumberFormat="1" applyFill="1" applyAlignment="1">
      <alignment vertical="top"/>
    </xf>
    <xf numFmtId="2" fontId="0" fillId="11" borderId="1" xfId="0" applyNumberFormat="1" applyFill="1" applyBorder="1" applyAlignment="1">
      <alignment horizontal="right" vertical="top"/>
    </xf>
    <xf numFmtId="44" fontId="0" fillId="8" borderId="7" xfId="0" applyNumberFormat="1" applyFill="1" applyBorder="1" applyAlignment="1">
      <alignment vertical="center"/>
    </xf>
    <xf numFmtId="44" fontId="0" fillId="9" borderId="8" xfId="0" applyNumberFormat="1" applyFill="1" applyBorder="1" applyAlignment="1">
      <alignment vertical="center"/>
    </xf>
    <xf numFmtId="169" fontId="0" fillId="0" borderId="0" xfId="0" applyNumberFormat="1" applyAlignment="1">
      <alignment vertical="center"/>
    </xf>
    <xf numFmtId="0" fontId="14" fillId="0" borderId="0" xfId="0" applyFont="1" applyAlignment="1">
      <alignment horizontal="center" vertical="center"/>
    </xf>
    <xf numFmtId="165" fontId="0" fillId="0" borderId="0" xfId="0" applyNumberFormat="1"/>
    <xf numFmtId="0" fontId="35" fillId="0" borderId="0" xfId="0" applyFont="1"/>
    <xf numFmtId="170" fontId="0" fillId="0" borderId="0" xfId="2" applyNumberFormat="1" applyFont="1"/>
    <xf numFmtId="0" fontId="36" fillId="0" borderId="0" xfId="0" applyFont="1"/>
    <xf numFmtId="0" fontId="34" fillId="0" borderId="0" xfId="0" applyFont="1"/>
    <xf numFmtId="2" fontId="0" fillId="13" borderId="1" xfId="0" applyNumberFormat="1" applyFill="1" applyBorder="1" applyAlignment="1">
      <alignment vertical="top"/>
    </xf>
    <xf numFmtId="44" fontId="0" fillId="13" borderId="8" xfId="0" applyNumberFormat="1" applyFill="1" applyBorder="1" applyAlignment="1">
      <alignment horizontal="center" vertical="center"/>
    </xf>
    <xf numFmtId="2" fontId="0" fillId="9" borderId="1" xfId="0" applyNumberFormat="1" applyFill="1" applyBorder="1" applyAlignment="1">
      <alignment vertical="top"/>
    </xf>
    <xf numFmtId="44" fontId="34" fillId="15" borderId="2" xfId="1" applyFont="1" applyFill="1" applyBorder="1"/>
    <xf numFmtId="169" fontId="0" fillId="0" borderId="0" xfId="0" applyNumberFormat="1"/>
    <xf numFmtId="44" fontId="37" fillId="15" borderId="1" xfId="1" applyFont="1" applyFill="1" applyBorder="1"/>
    <xf numFmtId="44" fontId="37" fillId="16" borderId="1" xfId="1" applyFont="1" applyFill="1" applyBorder="1"/>
    <xf numFmtId="0" fontId="37" fillId="0" borderId="0" xfId="0" applyFont="1"/>
    <xf numFmtId="44" fontId="37" fillId="17" borderId="1" xfId="1" applyFont="1" applyFill="1" applyBorder="1"/>
    <xf numFmtId="44" fontId="37" fillId="17" borderId="0" xfId="1" applyFont="1" applyFill="1"/>
    <xf numFmtId="44" fontId="34" fillId="15" borderId="0" xfId="1" applyFont="1" applyFill="1"/>
    <xf numFmtId="44" fontId="34" fillId="16" borderId="0" xfId="1" applyFont="1" applyFill="1"/>
    <xf numFmtId="44" fontId="34" fillId="16" borderId="2" xfId="1" applyFont="1" applyFill="1" applyBorder="1"/>
    <xf numFmtId="44" fontId="37" fillId="15" borderId="2" xfId="1" applyFont="1" applyFill="1" applyBorder="1"/>
    <xf numFmtId="44" fontId="6" fillId="0" borderId="0" xfId="1" applyFont="1"/>
    <xf numFmtId="44" fontId="9" fillId="0" borderId="0" xfId="1" applyFont="1"/>
    <xf numFmtId="44" fontId="6" fillId="0" borderId="0" xfId="0" applyNumberFormat="1" applyFont="1"/>
    <xf numFmtId="0" fontId="38" fillId="0" borderId="0" xfId="0" applyFont="1"/>
    <xf numFmtId="0" fontId="0" fillId="0" borderId="0" xfId="4" applyFont="1" applyAlignment="1">
      <alignment vertical="center" wrapText="1"/>
    </xf>
    <xf numFmtId="0" fontId="0" fillId="0" borderId="0" xfId="4" applyFont="1" applyAlignment="1">
      <alignment horizontal="center" vertical="center"/>
    </xf>
    <xf numFmtId="0" fontId="0" fillId="0" borderId="0" xfId="4" applyFont="1" applyAlignment="1">
      <alignment vertical="center"/>
    </xf>
    <xf numFmtId="171" fontId="0" fillId="18" borderId="0" xfId="4" applyNumberFormat="1" applyFont="1" applyFill="1" applyAlignment="1">
      <alignment vertical="center"/>
    </xf>
    <xf numFmtId="3" fontId="0" fillId="18" borderId="0" xfId="0" applyNumberFormat="1" applyFill="1" applyAlignment="1">
      <alignment vertical="center"/>
    </xf>
    <xf numFmtId="3" fontId="0" fillId="18" borderId="0" xfId="0" applyNumberFormat="1" applyFill="1"/>
    <xf numFmtId="3" fontId="0" fillId="18" borderId="0" xfId="4" applyNumberFormat="1" applyFont="1" applyFill="1" applyAlignment="1">
      <alignment vertical="center"/>
    </xf>
    <xf numFmtId="3" fontId="0" fillId="18" borderId="0" xfId="4" applyNumberFormat="1" applyFont="1" applyFill="1" applyAlignment="1">
      <alignment vertical="center" wrapText="1"/>
    </xf>
    <xf numFmtId="3" fontId="0" fillId="18" borderId="0" xfId="4" applyNumberFormat="1" applyFont="1" applyFill="1" applyAlignment="1">
      <alignment horizontal="right" vertical="center"/>
    </xf>
    <xf numFmtId="171" fontId="0" fillId="19" borderId="0" xfId="4" applyNumberFormat="1" applyFont="1" applyFill="1" applyAlignment="1">
      <alignment vertical="center"/>
    </xf>
    <xf numFmtId="3" fontId="0" fillId="19" borderId="0" xfId="0" applyNumberFormat="1" applyFill="1" applyAlignment="1">
      <alignment vertical="center"/>
    </xf>
    <xf numFmtId="3" fontId="0" fillId="19" borderId="0" xfId="0" applyNumberFormat="1" applyFill="1"/>
    <xf numFmtId="171" fontId="0" fillId="20" borderId="0" xfId="4" applyNumberFormat="1" applyFont="1" applyFill="1" applyAlignment="1">
      <alignment vertical="center"/>
    </xf>
    <xf numFmtId="3" fontId="0" fillId="20" borderId="0" xfId="0" applyNumberFormat="1" applyFill="1" applyAlignment="1">
      <alignment vertical="center"/>
    </xf>
    <xf numFmtId="3" fontId="0" fillId="20" borderId="0" xfId="0" applyNumberFormat="1" applyFill="1"/>
    <xf numFmtId="3" fontId="0" fillId="19" borderId="0" xfId="4" applyNumberFormat="1" applyFont="1" applyFill="1" applyAlignment="1">
      <alignment vertical="center"/>
    </xf>
    <xf numFmtId="3" fontId="0" fillId="19" borderId="0" xfId="4" applyNumberFormat="1" applyFont="1" applyFill="1" applyAlignment="1">
      <alignment vertical="center" wrapText="1"/>
    </xf>
    <xf numFmtId="3" fontId="0" fillId="19" borderId="0" xfId="4" applyNumberFormat="1" applyFont="1" applyFill="1" applyAlignment="1">
      <alignment horizontal="right" vertical="center"/>
    </xf>
    <xf numFmtId="3" fontId="0" fillId="20" borderId="0" xfId="4" applyNumberFormat="1" applyFont="1" applyFill="1" applyAlignment="1">
      <alignment vertical="center"/>
    </xf>
    <xf numFmtId="3" fontId="0" fillId="20" borderId="0" xfId="4" applyNumberFormat="1" applyFont="1" applyFill="1" applyAlignment="1">
      <alignment vertical="center" wrapText="1"/>
    </xf>
    <xf numFmtId="3" fontId="0" fillId="20" borderId="0" xfId="4" applyNumberFormat="1" applyFont="1" applyFill="1" applyAlignment="1">
      <alignment horizontal="right" vertical="center"/>
    </xf>
    <xf numFmtId="171" fontId="0" fillId="17" borderId="0" xfId="4" applyNumberFormat="1" applyFont="1" applyFill="1" applyAlignment="1">
      <alignment vertical="center"/>
    </xf>
    <xf numFmtId="3" fontId="0" fillId="17" borderId="0" xfId="0" applyNumberFormat="1" applyFill="1" applyAlignment="1">
      <alignment vertical="center"/>
    </xf>
    <xf numFmtId="0" fontId="0" fillId="20" borderId="0" xfId="0" applyFill="1"/>
    <xf numFmtId="0" fontId="0" fillId="19" borderId="0" xfId="0" applyFill="1"/>
    <xf numFmtId="171" fontId="0" fillId="21" borderId="0" xfId="4" applyNumberFormat="1" applyFont="1" applyFill="1" applyAlignment="1">
      <alignment vertical="center"/>
    </xf>
    <xf numFmtId="3" fontId="0" fillId="21" borderId="0" xfId="0" applyNumberFormat="1" applyFill="1" applyAlignment="1">
      <alignment vertical="center"/>
    </xf>
    <xf numFmtId="0" fontId="0" fillId="21" borderId="0" xfId="0" applyFill="1"/>
    <xf numFmtId="3" fontId="0" fillId="17" borderId="0" xfId="4" applyNumberFormat="1" applyFont="1" applyFill="1" applyAlignment="1">
      <alignment vertical="center"/>
    </xf>
    <xf numFmtId="3" fontId="0" fillId="17" borderId="0" xfId="4" applyNumberFormat="1" applyFont="1" applyFill="1" applyAlignment="1">
      <alignment vertical="center" wrapText="1"/>
    </xf>
    <xf numFmtId="3" fontId="0" fillId="17" borderId="0" xfId="0" applyNumberFormat="1" applyFill="1"/>
    <xf numFmtId="0" fontId="29" fillId="0" borderId="0" xfId="0" applyFont="1"/>
    <xf numFmtId="0" fontId="15" fillId="0" borderId="0" xfId="0" applyFont="1" applyAlignment="1">
      <alignment vertical="center"/>
    </xf>
    <xf numFmtId="164" fontId="0" fillId="0" borderId="0" xfId="0" applyNumberFormat="1" applyAlignment="1">
      <alignment vertical="center"/>
    </xf>
    <xf numFmtId="0" fontId="37" fillId="0" borderId="0" xfId="0" applyFont="1" applyAlignment="1">
      <alignment wrapText="1"/>
    </xf>
    <xf numFmtId="164" fontId="6" fillId="0" borderId="0" xfId="0" applyNumberFormat="1" applyFont="1"/>
    <xf numFmtId="0" fontId="12" fillId="0" borderId="0" xfId="0" applyFont="1" applyAlignment="1">
      <alignment horizontal="right" vertical="center" wrapText="1"/>
    </xf>
    <xf numFmtId="0" fontId="18" fillId="0" borderId="0" xfId="0" applyFont="1" applyAlignment="1">
      <alignment horizontal="left"/>
    </xf>
    <xf numFmtId="165" fontId="12" fillId="0" borderId="0" xfId="2" applyNumberFormat="1" applyFont="1" applyFill="1" applyBorder="1"/>
    <xf numFmtId="165" fontId="0" fillId="0" borderId="0" xfId="2" applyNumberFormat="1" applyFont="1" applyBorder="1"/>
    <xf numFmtId="0" fontId="0" fillId="0" borderId="7" xfId="0" applyBorder="1" applyAlignment="1">
      <alignment horizontal="center"/>
    </xf>
    <xf numFmtId="44" fontId="0" fillId="0" borderId="0" xfId="1" applyFont="1" applyBorder="1" applyAlignment="1"/>
    <xf numFmtId="0" fontId="2" fillId="0" borderId="10" xfId="0" applyFont="1" applyBorder="1" applyAlignment="1">
      <alignment horizontal="right" vertical="center" wrapText="1"/>
    </xf>
    <xf numFmtId="166" fontId="2" fillId="0" borderId="0" xfId="0" applyNumberFormat="1" applyFont="1" applyAlignment="1">
      <alignment horizontal="center"/>
    </xf>
    <xf numFmtId="3" fontId="2" fillId="3" borderId="0" xfId="0" applyNumberFormat="1" applyFont="1" applyFill="1" applyAlignment="1">
      <alignment horizontal="center" vertical="center" wrapText="1"/>
    </xf>
    <xf numFmtId="0" fontId="2" fillId="4" borderId="0" xfId="0" applyFont="1" applyFill="1" applyAlignment="1">
      <alignment vertical="center" wrapText="1"/>
    </xf>
    <xf numFmtId="0" fontId="31" fillId="8" borderId="0" xfId="0" applyFont="1" applyFill="1" applyAlignment="1">
      <alignment horizontal="center" vertical="center"/>
    </xf>
    <xf numFmtId="44" fontId="2" fillId="0" borderId="0" xfId="1" applyFont="1" applyBorder="1" applyAlignment="1">
      <alignment horizontal="center"/>
    </xf>
    <xf numFmtId="0" fontId="2" fillId="0" borderId="0" xfId="0" applyFont="1" applyAlignment="1">
      <alignment horizontal="center" vertical="center"/>
    </xf>
    <xf numFmtId="44" fontId="2" fillId="0" borderId="0" xfId="1" applyFont="1" applyFill="1" applyBorder="1" applyAlignment="1">
      <alignment horizontal="center" vertical="center" wrapText="1"/>
    </xf>
    <xf numFmtId="44" fontId="2" fillId="0" borderId="0" xfId="1" applyFont="1" applyFill="1" applyBorder="1" applyAlignment="1">
      <alignment horizontal="right" vertical="center" wrapText="1"/>
    </xf>
    <xf numFmtId="44" fontId="2" fillId="0" borderId="0" xfId="1" applyFont="1" applyBorder="1" applyAlignment="1">
      <alignment vertical="center" wrapText="1"/>
    </xf>
    <xf numFmtId="10" fontId="0" fillId="0" borderId="0" xfId="2" applyNumberFormat="1" applyFont="1" applyFill="1" applyBorder="1"/>
    <xf numFmtId="0" fontId="40" fillId="0" borderId="0" xfId="0" applyFont="1" applyAlignment="1">
      <alignment horizontal="right"/>
    </xf>
    <xf numFmtId="2" fontId="40" fillId="0" borderId="0" xfId="0" applyNumberFormat="1" applyFont="1"/>
    <xf numFmtId="0" fontId="33" fillId="0" borderId="0" xfId="0" applyFont="1" applyAlignment="1">
      <alignment horizontal="right" vertical="center" wrapText="1"/>
    </xf>
    <xf numFmtId="2" fontId="15" fillId="0" borderId="0" xfId="0" applyNumberFormat="1" applyFont="1"/>
    <xf numFmtId="0" fontId="41" fillId="0" borderId="0" xfId="0" applyFont="1"/>
    <xf numFmtId="0" fontId="7" fillId="4" borderId="10" xfId="0" applyFont="1" applyFill="1" applyBorder="1" applyAlignment="1">
      <alignment horizontal="center" vertical="center" wrapText="1"/>
    </xf>
    <xf numFmtId="172" fontId="0" fillId="0" borderId="0" xfId="0" applyNumberFormat="1"/>
    <xf numFmtId="164" fontId="0" fillId="2" borderId="0" xfId="0" applyNumberFormat="1" applyFill="1"/>
    <xf numFmtId="0" fontId="0" fillId="2" borderId="0" xfId="0" applyFill="1"/>
    <xf numFmtId="9" fontId="0" fillId="2" borderId="0" xfId="2" applyFont="1" applyFill="1" applyBorder="1"/>
    <xf numFmtId="171" fontId="0" fillId="16" borderId="0" xfId="4" applyNumberFormat="1" applyFont="1" applyFill="1" applyAlignment="1">
      <alignment vertical="center"/>
    </xf>
    <xf numFmtId="171" fontId="0" fillId="15" borderId="0" xfId="4" applyNumberFormat="1" applyFont="1" applyFill="1" applyAlignment="1">
      <alignment vertical="center"/>
    </xf>
    <xf numFmtId="3" fontId="0" fillId="15" borderId="0" xfId="0" applyNumberFormat="1" applyFill="1" applyAlignment="1">
      <alignment vertical="center"/>
    </xf>
    <xf numFmtId="3" fontId="0" fillId="16" borderId="0" xfId="0" applyNumberFormat="1" applyFill="1" applyAlignment="1">
      <alignment vertical="center"/>
    </xf>
    <xf numFmtId="172" fontId="20" fillId="3" borderId="0" xfId="0" applyNumberFormat="1" applyFont="1" applyFill="1" applyAlignment="1">
      <alignment horizontal="center" vertical="center"/>
    </xf>
    <xf numFmtId="172" fontId="20" fillId="4" borderId="0" xfId="0" applyNumberFormat="1" applyFont="1" applyFill="1" applyAlignment="1">
      <alignment horizontal="center" vertical="center"/>
    </xf>
    <xf numFmtId="172" fontId="2" fillId="0" borderId="0" xfId="0" applyNumberFormat="1" applyFont="1" applyAlignment="1">
      <alignment horizontal="center" vertical="center" wrapText="1"/>
    </xf>
    <xf numFmtId="172" fontId="0" fillId="0" borderId="0" xfId="0" applyNumberFormat="1" applyAlignment="1">
      <alignment horizontal="right" vertical="center" wrapText="1"/>
    </xf>
    <xf numFmtId="172" fontId="15" fillId="0" borderId="0" xfId="0" applyNumberFormat="1" applyFont="1"/>
    <xf numFmtId="172" fontId="15" fillId="0" borderId="19" xfId="0" applyNumberFormat="1" applyFont="1" applyBorder="1"/>
    <xf numFmtId="172" fontId="2" fillId="0" borderId="0" xfId="0" applyNumberFormat="1" applyFont="1"/>
    <xf numFmtId="173" fontId="0" fillId="0" borderId="0" xfId="0" applyNumberFormat="1"/>
    <xf numFmtId="165" fontId="15" fillId="0" borderId="0" xfId="2" applyNumberFormat="1" applyFont="1" applyFill="1" applyBorder="1"/>
    <xf numFmtId="44" fontId="0" fillId="21" borderId="0" xfId="1" applyFont="1" applyFill="1"/>
    <xf numFmtId="0" fontId="8" fillId="11" borderId="16" xfId="0" applyFont="1" applyFill="1" applyBorder="1"/>
    <xf numFmtId="0" fontId="8" fillId="11" borderId="17" xfId="0" applyFont="1" applyFill="1" applyBorder="1"/>
    <xf numFmtId="0" fontId="9" fillId="10" borderId="22" xfId="0" applyFont="1" applyFill="1" applyBorder="1" applyAlignment="1">
      <alignment horizontal="center" vertical="center"/>
    </xf>
    <xf numFmtId="0" fontId="9" fillId="12" borderId="15" xfId="0" applyFont="1" applyFill="1" applyBorder="1"/>
    <xf numFmtId="0" fontId="8" fillId="13" borderId="17" xfId="0" applyFont="1" applyFill="1" applyBorder="1"/>
    <xf numFmtId="0" fontId="25" fillId="13" borderId="16" xfId="0" applyFont="1" applyFill="1" applyBorder="1" applyAlignment="1">
      <alignment horizontal="center"/>
    </xf>
    <xf numFmtId="0" fontId="9" fillId="5" borderId="15" xfId="0" applyFont="1" applyFill="1" applyBorder="1"/>
    <xf numFmtId="0" fontId="9" fillId="5" borderId="16" xfId="0" applyFont="1" applyFill="1" applyBorder="1"/>
    <xf numFmtId="0" fontId="9" fillId="5" borderId="22" xfId="0" applyFont="1" applyFill="1" applyBorder="1" applyAlignment="1">
      <alignment horizontal="center"/>
    </xf>
    <xf numFmtId="0" fontId="9" fillId="14" borderId="15" xfId="0" applyFont="1" applyFill="1" applyBorder="1"/>
    <xf numFmtId="0" fontId="8" fillId="9" borderId="17" xfId="0" applyFont="1" applyFill="1" applyBorder="1"/>
    <xf numFmtId="0" fontId="25" fillId="9" borderId="16" xfId="0" applyFont="1" applyFill="1" applyBorder="1" applyAlignment="1">
      <alignment horizontal="center"/>
    </xf>
    <xf numFmtId="44" fontId="29" fillId="0" borderId="0" xfId="0" applyNumberFormat="1" applyFont="1"/>
    <xf numFmtId="0" fontId="29" fillId="0" borderId="0" xfId="0" applyFont="1" applyAlignment="1">
      <alignment horizontal="center" vertical="center" wrapText="1"/>
    </xf>
    <xf numFmtId="0" fontId="9" fillId="22" borderId="22" xfId="0" applyFont="1" applyFill="1" applyBorder="1" applyAlignment="1">
      <alignment horizontal="center" vertical="center"/>
    </xf>
    <xf numFmtId="0" fontId="9" fillId="23" borderId="22" xfId="0" applyFont="1" applyFill="1" applyBorder="1" applyAlignment="1">
      <alignment horizontal="center" vertical="center"/>
    </xf>
    <xf numFmtId="0" fontId="9" fillId="24" borderId="22" xfId="0" applyFont="1" applyFill="1" applyBorder="1" applyAlignment="1">
      <alignment horizontal="center" vertical="center"/>
    </xf>
    <xf numFmtId="2" fontId="29" fillId="0" borderId="0" xfId="0" applyNumberFormat="1" applyFont="1"/>
    <xf numFmtId="0" fontId="2" fillId="0" borderId="0" xfId="0" applyFont="1" applyAlignment="1">
      <alignment horizontal="right" vertical="center"/>
    </xf>
    <xf numFmtId="166" fontId="0" fillId="2" borderId="0" xfId="0" applyNumberFormat="1" applyFill="1"/>
    <xf numFmtId="0" fontId="0" fillId="2" borderId="0" xfId="0" applyFill="1" applyAlignment="1">
      <alignment vertical="top"/>
    </xf>
    <xf numFmtId="4" fontId="0" fillId="2" borderId="0" xfId="0" applyNumberFormat="1" applyFill="1"/>
    <xf numFmtId="0" fontId="42" fillId="0" borderId="0" xfId="0" applyFont="1"/>
    <xf numFmtId="0" fontId="40" fillId="0" borderId="0" xfId="0" applyFont="1"/>
    <xf numFmtId="0" fontId="43" fillId="0" borderId="0" xfId="0" applyFont="1"/>
    <xf numFmtId="9" fontId="1" fillId="0" borderId="0" xfId="2" applyFont="1"/>
    <xf numFmtId="44" fontId="45" fillId="0" borderId="0" xfId="1" applyFont="1"/>
    <xf numFmtId="44" fontId="0" fillId="0" borderId="0" xfId="1" applyFont="1" applyAlignment="1">
      <alignment wrapText="1"/>
    </xf>
    <xf numFmtId="0" fontId="7" fillId="0" borderId="0" xfId="0" applyFont="1" applyAlignment="1">
      <alignment horizontal="right" vertical="center" wrapText="1"/>
    </xf>
    <xf numFmtId="0" fontId="5" fillId="0" borderId="0" xfId="0" applyFont="1" applyAlignment="1">
      <alignment horizontal="right"/>
    </xf>
    <xf numFmtId="0" fontId="7" fillId="4" borderId="10" xfId="0" applyFont="1" applyFill="1" applyBorder="1" applyAlignment="1">
      <alignment vertical="center" wrapText="1"/>
    </xf>
    <xf numFmtId="3" fontId="7" fillId="3" borderId="10" xfId="0" applyNumberFormat="1" applyFont="1" applyFill="1" applyBorder="1" applyAlignment="1">
      <alignment horizontal="center" vertical="center" wrapText="1"/>
    </xf>
    <xf numFmtId="0" fontId="0" fillId="25" borderId="0" xfId="0" applyFill="1"/>
    <xf numFmtId="3" fontId="7" fillId="0" borderId="0" xfId="0" applyNumberFormat="1" applyFont="1" applyAlignment="1">
      <alignment horizontal="center" vertical="center" wrapText="1"/>
    </xf>
    <xf numFmtId="0" fontId="7" fillId="0" borderId="0" xfId="0" applyFont="1" applyAlignment="1">
      <alignment horizontal="center" vertical="center" wrapText="1"/>
    </xf>
    <xf numFmtId="0" fontId="25" fillId="0" borderId="0" xfId="0" applyFont="1" applyAlignment="1">
      <alignment horizontal="center" vertical="center"/>
    </xf>
    <xf numFmtId="0" fontId="5" fillId="0" borderId="0" xfId="0" applyFont="1" applyAlignment="1">
      <alignment horizontal="right" vertical="center"/>
    </xf>
    <xf numFmtId="44" fontId="1" fillId="0" borderId="0" xfId="1" applyFont="1" applyFill="1"/>
    <xf numFmtId="44" fontId="0" fillId="0" borderId="0" xfId="1" applyFont="1" applyFill="1"/>
    <xf numFmtId="44" fontId="0" fillId="0" borderId="10" xfId="1" applyFont="1" applyFill="1" applyBorder="1"/>
    <xf numFmtId="44" fontId="1" fillId="0" borderId="10" xfId="1" applyFont="1" applyFill="1" applyBorder="1"/>
    <xf numFmtId="44" fontId="12" fillId="21" borderId="0" xfId="0" applyNumberFormat="1" applyFont="1" applyFill="1" applyAlignment="1">
      <alignment horizontal="right" vertical="center" wrapText="1"/>
    </xf>
    <xf numFmtId="44" fontId="0" fillId="0" borderId="0" xfId="1" applyFont="1" applyFill="1" applyBorder="1"/>
    <xf numFmtId="44" fontId="12" fillId="21" borderId="1" xfId="0" applyNumberFormat="1" applyFont="1" applyFill="1" applyBorder="1" applyAlignment="1">
      <alignment horizontal="right" vertical="center" wrapText="1"/>
    </xf>
    <xf numFmtId="44" fontId="46" fillId="0" borderId="0" xfId="1" applyFont="1"/>
    <xf numFmtId="165" fontId="0" fillId="21" borderId="0" xfId="0" applyNumberFormat="1" applyFill="1" applyAlignment="1">
      <alignment horizontal="right" vertical="center"/>
    </xf>
    <xf numFmtId="10" fontId="20" fillId="21" borderId="0" xfId="2" applyNumberFormat="1" applyFont="1" applyFill="1" applyAlignment="1">
      <alignment vertical="center"/>
    </xf>
    <xf numFmtId="10" fontId="0" fillId="21" borderId="0" xfId="2" applyNumberFormat="1" applyFont="1" applyFill="1"/>
    <xf numFmtId="44" fontId="0" fillId="21" borderId="0" xfId="1" applyFont="1" applyFill="1" applyBorder="1"/>
    <xf numFmtId="44" fontId="0" fillId="21" borderId="0" xfId="1" applyFont="1" applyFill="1" applyBorder="1" applyAlignment="1">
      <alignment horizontal="center" vertical="center" wrapText="1"/>
    </xf>
    <xf numFmtId="44" fontId="0" fillId="21" borderId="0" xfId="1" applyFont="1" applyFill="1" applyBorder="1" applyAlignment="1">
      <alignment vertical="center" wrapText="1"/>
    </xf>
    <xf numFmtId="0" fontId="47" fillId="0" borderId="0" xfId="0" applyFont="1" applyAlignment="1">
      <alignment horizontal="right"/>
    </xf>
    <xf numFmtId="166" fontId="24" fillId="21" borderId="0" xfId="0" applyNumberFormat="1" applyFont="1" applyFill="1" applyAlignment="1">
      <alignment horizontal="right"/>
    </xf>
    <xf numFmtId="2" fontId="12" fillId="21" borderId="0" xfId="0" applyNumberFormat="1" applyFont="1" applyFill="1" applyAlignment="1">
      <alignment vertical="center"/>
    </xf>
    <xf numFmtId="166" fontId="12" fillId="21" borderId="0" xfId="0" applyNumberFormat="1" applyFont="1" applyFill="1" applyAlignment="1">
      <alignment vertical="center"/>
    </xf>
    <xf numFmtId="44" fontId="29" fillId="21" borderId="0" xfId="0" applyNumberFormat="1" applyFont="1" applyFill="1"/>
    <xf numFmtId="44" fontId="0" fillId="21" borderId="0" xfId="0" applyNumberFormat="1" applyFill="1"/>
    <xf numFmtId="9" fontId="0" fillId="0" borderId="0" xfId="2" applyFont="1" applyFill="1"/>
    <xf numFmtId="2" fontId="0" fillId="26" borderId="0" xfId="0" applyNumberFormat="1" applyFill="1"/>
    <xf numFmtId="164" fontId="0" fillId="26" borderId="0" xfId="0" applyNumberFormat="1" applyFill="1"/>
    <xf numFmtId="0" fontId="0" fillId="26" borderId="0" xfId="0" applyFill="1"/>
    <xf numFmtId="0" fontId="4" fillId="0" borderId="0" xfId="3" applyAlignment="1">
      <alignment horizontal="left"/>
    </xf>
    <xf numFmtId="0" fontId="21" fillId="0" borderId="0" xfId="0" applyFont="1" applyAlignment="1">
      <alignment horizontal="right"/>
    </xf>
    <xf numFmtId="0" fontId="26" fillId="0" borderId="0" xfId="0" applyFont="1" applyAlignment="1">
      <alignment horizontal="left"/>
    </xf>
    <xf numFmtId="164" fontId="0" fillId="21" borderId="0" xfId="2" applyNumberFormat="1" applyFont="1" applyFill="1"/>
    <xf numFmtId="3" fontId="7" fillId="3" borderId="9" xfId="0" applyNumberFormat="1" applyFont="1" applyFill="1" applyBorder="1" applyAlignment="1">
      <alignment horizontal="center" vertical="center" wrapText="1"/>
    </xf>
    <xf numFmtId="2" fontId="0" fillId="25" borderId="0" xfId="0" applyNumberFormat="1" applyFill="1"/>
    <xf numFmtId="0" fontId="22" fillId="0" borderId="0" xfId="0" applyFont="1" applyAlignment="1">
      <alignment wrapText="1"/>
    </xf>
    <xf numFmtId="174" fontId="0" fillId="0" borderId="0" xfId="1" applyNumberFormat="1" applyFont="1" applyFill="1"/>
    <xf numFmtId="174" fontId="0" fillId="0" borderId="0" xfId="1" applyNumberFormat="1" applyFont="1" applyFill="1" applyAlignment="1">
      <alignment horizontal="right"/>
    </xf>
    <xf numFmtId="165" fontId="0" fillId="0" borderId="0" xfId="2" applyNumberFormat="1" applyFont="1" applyAlignment="1">
      <alignment horizontal="right"/>
    </xf>
    <xf numFmtId="0" fontId="32" fillId="0" borderId="0" xfId="0" applyFont="1" applyAlignment="1">
      <alignment horizontal="center" vertical="center" wrapText="1"/>
    </xf>
    <xf numFmtId="172" fontId="0" fillId="0" borderId="0" xfId="0" applyNumberFormat="1" applyAlignment="1">
      <alignment horizontal="center" vertical="center" wrapText="1"/>
    </xf>
    <xf numFmtId="0" fontId="20" fillId="0" borderId="0" xfId="0" applyFont="1" applyAlignment="1">
      <alignment horizontal="left" vertical="center"/>
    </xf>
    <xf numFmtId="44" fontId="0" fillId="11" borderId="8" xfId="0" applyNumberFormat="1" applyFill="1" applyBorder="1" applyAlignment="1">
      <alignment horizontal="center" vertical="center"/>
    </xf>
    <xf numFmtId="44" fontId="0" fillId="2" borderId="0" xfId="1" applyFont="1" applyFill="1" applyBorder="1"/>
    <xf numFmtId="44" fontId="37" fillId="17" borderId="2" xfId="1" applyFont="1" applyFill="1" applyBorder="1"/>
    <xf numFmtId="0" fontId="15" fillId="0" borderId="0" xfId="0" applyFont="1" applyAlignment="1">
      <alignment horizontal="right" vertical="top"/>
    </xf>
    <xf numFmtId="0" fontId="0" fillId="0" borderId="0" xfId="0" applyAlignment="1">
      <alignment horizontal="left" vertical="top" wrapText="1"/>
    </xf>
    <xf numFmtId="0" fontId="0" fillId="0" borderId="1" xfId="0" applyBorder="1" applyAlignment="1">
      <alignment horizontal="center" vertical="center" wrapText="1"/>
    </xf>
    <xf numFmtId="44" fontId="15" fillId="0" borderId="0" xfId="1" applyFont="1" applyAlignment="1">
      <alignment horizontal="right"/>
    </xf>
    <xf numFmtId="0" fontId="23" fillId="0" borderId="0" xfId="0" applyFont="1" applyAlignment="1">
      <alignment horizontal="center" vertical="center" wrapText="1"/>
    </xf>
    <xf numFmtId="0" fontId="18" fillId="0" borderId="0" xfId="0" applyFont="1" applyAlignment="1">
      <alignment horizontal="center" vertical="center"/>
    </xf>
    <xf numFmtId="0" fontId="48" fillId="0" borderId="0" xfId="0" applyFont="1"/>
    <xf numFmtId="0" fontId="33" fillId="0" borderId="0" xfId="0" applyFont="1" applyAlignment="1">
      <alignment horizontal="right" vertical="top" wrapText="1"/>
    </xf>
    <xf numFmtId="9" fontId="0" fillId="0" borderId="0" xfId="0" applyNumberFormat="1"/>
    <xf numFmtId="0" fontId="17" fillId="0" borderId="0" xfId="3" applyFont="1"/>
    <xf numFmtId="175" fontId="0" fillId="0" borderId="0" xfId="0" applyNumberFormat="1"/>
    <xf numFmtId="0" fontId="49" fillId="0" borderId="0" xfId="0" applyFont="1"/>
    <xf numFmtId="0" fontId="50" fillId="0" borderId="0" xfId="0" applyFont="1"/>
    <xf numFmtId="0" fontId="2" fillId="2" borderId="9" xfId="0" applyFont="1" applyFill="1" applyBorder="1" applyAlignment="1">
      <alignment horizontal="center" wrapText="1"/>
    </xf>
    <xf numFmtId="0" fontId="2" fillId="2" borderId="10" xfId="0" applyFont="1" applyFill="1" applyBorder="1" applyAlignment="1">
      <alignment horizontal="center" wrapText="1"/>
    </xf>
    <xf numFmtId="44" fontId="0" fillId="0" borderId="9" xfId="1" applyFont="1" applyBorder="1"/>
    <xf numFmtId="0" fontId="2" fillId="4" borderId="0" xfId="0" applyFont="1" applyFill="1" applyAlignment="1">
      <alignment horizontal="center" vertical="center" wrapText="1"/>
    </xf>
    <xf numFmtId="44" fontId="12" fillId="21" borderId="9" xfId="0" applyNumberFormat="1" applyFont="1" applyFill="1" applyBorder="1" applyAlignment="1">
      <alignment horizontal="right" vertical="center" wrapText="1"/>
    </xf>
    <xf numFmtId="0" fontId="0" fillId="0" borderId="0" xfId="1" applyNumberFormat="1" applyFont="1" applyFill="1"/>
    <xf numFmtId="2" fontId="0" fillId="0" borderId="0" xfId="2" applyNumberFormat="1" applyFont="1"/>
    <xf numFmtId="2" fontId="2" fillId="13" borderId="1" xfId="1" applyNumberFormat="1" applyFont="1" applyFill="1" applyBorder="1"/>
    <xf numFmtId="2" fontId="2" fillId="13" borderId="0" xfId="1" applyNumberFormat="1" applyFont="1" applyFill="1" applyBorder="1"/>
    <xf numFmtId="2" fontId="2" fillId="13" borderId="2" xfId="1" applyNumberFormat="1" applyFont="1" applyFill="1" applyBorder="1"/>
    <xf numFmtId="2" fontId="2" fillId="8" borderId="0" xfId="1" applyNumberFormat="1" applyFont="1" applyFill="1" applyBorder="1"/>
    <xf numFmtId="2" fontId="2" fillId="9" borderId="0" xfId="1" applyNumberFormat="1" applyFont="1" applyFill="1" applyBorder="1"/>
    <xf numFmtId="177" fontId="0" fillId="0" borderId="0" xfId="0" applyNumberFormat="1"/>
    <xf numFmtId="177" fontId="0" fillId="0" borderId="0" xfId="0" applyNumberFormat="1" applyAlignment="1">
      <alignment horizontal="center"/>
    </xf>
    <xf numFmtId="176" fontId="0" fillId="2" borderId="1" xfId="1" applyNumberFormat="1" applyFont="1" applyFill="1" applyBorder="1"/>
    <xf numFmtId="12" fontId="0" fillId="0" borderId="0" xfId="0" applyNumberFormat="1"/>
    <xf numFmtId="0" fontId="51" fillId="0" borderId="0" xfId="0" applyFont="1"/>
    <xf numFmtId="44" fontId="51" fillId="0" borderId="0" xfId="1" applyFont="1"/>
    <xf numFmtId="0" fontId="52" fillId="0" borderId="0" xfId="0" applyFont="1"/>
    <xf numFmtId="44" fontId="52" fillId="0" borderId="0" xfId="1" applyFont="1"/>
    <xf numFmtId="0" fontId="53" fillId="0" borderId="0" xfId="0" applyFont="1"/>
    <xf numFmtId="44" fontId="53" fillId="0" borderId="0" xfId="1" applyFont="1"/>
    <xf numFmtId="44" fontId="0" fillId="0" borderId="0" xfId="1" applyFont="1" applyAlignment="1">
      <alignment horizontal="right"/>
    </xf>
    <xf numFmtId="0" fontId="16" fillId="0" borderId="0" xfId="3" applyFont="1" applyAlignment="1">
      <alignment horizontal="left"/>
    </xf>
    <xf numFmtId="165" fontId="2" fillId="0" borderId="0" xfId="2" applyNumberFormat="1" applyFont="1"/>
    <xf numFmtId="0" fontId="16" fillId="0" borderId="0" xfId="0" applyFont="1" applyAlignment="1">
      <alignment horizontal="left"/>
    </xf>
    <xf numFmtId="44" fontId="1" fillId="0" borderId="0" xfId="1" applyFont="1" applyBorder="1"/>
    <xf numFmtId="0" fontId="2" fillId="0" borderId="10" xfId="0" applyFont="1" applyBorder="1" applyAlignment="1">
      <alignment horizontal="center"/>
    </xf>
    <xf numFmtId="0" fontId="25" fillId="8" borderId="9" xfId="0" applyFont="1" applyFill="1" applyBorder="1" applyAlignment="1">
      <alignment horizontal="center" vertical="center"/>
    </xf>
    <xf numFmtId="0" fontId="54" fillId="0" borderId="0" xfId="3" applyFont="1" applyAlignment="1">
      <alignment horizontal="left"/>
    </xf>
    <xf numFmtId="44" fontId="12" fillId="0" borderId="0" xfId="1" applyFont="1"/>
    <xf numFmtId="44" fontId="24" fillId="0" borderId="0" xfId="1" applyFont="1" applyAlignment="1">
      <alignment horizontal="right"/>
    </xf>
    <xf numFmtId="0" fontId="55" fillId="0" borderId="0" xfId="0" applyFont="1" applyAlignment="1">
      <alignment horizontal="right" vertical="center"/>
    </xf>
    <xf numFmtId="44" fontId="28" fillId="0" borderId="0" xfId="1" applyFont="1"/>
    <xf numFmtId="165" fontId="0" fillId="0" borderId="0" xfId="2" applyNumberFormat="1" applyFont="1" applyAlignment="1">
      <alignment wrapText="1"/>
    </xf>
    <xf numFmtId="44" fontId="12" fillId="0" borderId="0" xfId="1" applyFont="1" applyAlignment="1">
      <alignment horizontal="right" vertical="center" wrapText="1"/>
    </xf>
    <xf numFmtId="44" fontId="40" fillId="0" borderId="0" xfId="1" applyFont="1"/>
    <xf numFmtId="0" fontId="12" fillId="2" borderId="0" xfId="0" applyFont="1" applyFill="1" applyAlignment="1">
      <alignment horizontal="right"/>
    </xf>
    <xf numFmtId="1" fontId="0" fillId="0" borderId="0" xfId="0" applyNumberFormat="1" applyAlignment="1">
      <alignment horizontal="center"/>
    </xf>
    <xf numFmtId="0" fontId="0" fillId="2" borderId="0" xfId="0" applyFill="1" applyAlignment="1">
      <alignment horizontal="right"/>
    </xf>
    <xf numFmtId="11" fontId="0" fillId="0" borderId="0" xfId="0" applyNumberFormat="1"/>
    <xf numFmtId="0" fontId="58" fillId="0" borderId="0" xfId="0" applyFont="1"/>
    <xf numFmtId="0" fontId="56" fillId="0" borderId="0" xfId="0" applyFont="1"/>
    <xf numFmtId="44" fontId="43" fillId="17" borderId="2" xfId="1" applyFont="1" applyFill="1" applyBorder="1"/>
    <xf numFmtId="0" fontId="29" fillId="0" borderId="0" xfId="0" applyFont="1" applyAlignment="1">
      <alignment horizontal="left" vertical="top"/>
    </xf>
    <xf numFmtId="9" fontId="0" fillId="11" borderId="1" xfId="2" applyFont="1" applyFill="1" applyBorder="1" applyAlignment="1">
      <alignment horizontal="center"/>
    </xf>
    <xf numFmtId="44" fontId="2" fillId="11" borderId="3" xfId="1" applyFont="1" applyFill="1" applyBorder="1"/>
    <xf numFmtId="44" fontId="2" fillId="11" borderId="4" xfId="1" applyFont="1" applyFill="1" applyBorder="1"/>
    <xf numFmtId="44" fontId="2" fillId="11" borderId="5" xfId="1" applyFont="1" applyFill="1" applyBorder="1"/>
    <xf numFmtId="44" fontId="2" fillId="11" borderId="1" xfId="1" applyFont="1" applyFill="1" applyBorder="1"/>
    <xf numFmtId="9" fontId="0" fillId="13" borderId="1" xfId="2" applyFont="1" applyFill="1" applyBorder="1" applyAlignment="1">
      <alignment horizontal="center"/>
    </xf>
    <xf numFmtId="44" fontId="2" fillId="13" borderId="3" xfId="1" applyFont="1" applyFill="1" applyBorder="1"/>
    <xf numFmtId="44" fontId="2" fillId="13" borderId="4" xfId="1" applyFont="1" applyFill="1" applyBorder="1"/>
    <xf numFmtId="44" fontId="2" fillId="13" borderId="5" xfId="1" applyFont="1" applyFill="1" applyBorder="1"/>
    <xf numFmtId="9" fontId="0" fillId="8" borderId="0" xfId="2" applyFont="1" applyFill="1" applyBorder="1" applyAlignment="1">
      <alignment horizontal="center"/>
    </xf>
    <xf numFmtId="44" fontId="2" fillId="8" borderId="3" xfId="1" applyFont="1" applyFill="1" applyBorder="1"/>
    <xf numFmtId="44" fontId="2" fillId="8" borderId="4" xfId="1" applyFont="1" applyFill="1" applyBorder="1"/>
    <xf numFmtId="44" fontId="2" fillId="8" borderId="5" xfId="1" applyFont="1" applyFill="1" applyBorder="1"/>
    <xf numFmtId="2" fontId="2" fillId="8" borderId="1" xfId="1" applyNumberFormat="1" applyFont="1" applyFill="1" applyBorder="1"/>
    <xf numFmtId="2" fontId="2" fillId="8" borderId="2" xfId="1" applyNumberFormat="1" applyFont="1" applyFill="1" applyBorder="1"/>
    <xf numFmtId="44" fontId="2" fillId="9" borderId="3" xfId="1" applyFont="1" applyFill="1" applyBorder="1"/>
    <xf numFmtId="44" fontId="2" fillId="9" borderId="4" xfId="1" applyFont="1" applyFill="1" applyBorder="1"/>
    <xf numFmtId="44" fontId="2" fillId="9" borderId="5" xfId="1" applyFont="1" applyFill="1" applyBorder="1"/>
    <xf numFmtId="2" fontId="2" fillId="9" borderId="1" xfId="1" applyNumberFormat="1" applyFont="1" applyFill="1" applyBorder="1"/>
    <xf numFmtId="2" fontId="2" fillId="9" borderId="2" xfId="1" applyNumberFormat="1" applyFont="1" applyFill="1" applyBorder="1"/>
    <xf numFmtId="9" fontId="0" fillId="9" borderId="1" xfId="2" applyFont="1" applyFill="1" applyBorder="1" applyAlignment="1">
      <alignment horizontal="center"/>
    </xf>
    <xf numFmtId="0" fontId="59" fillId="0" borderId="0" xfId="0" applyFont="1"/>
    <xf numFmtId="0" fontId="60" fillId="0" borderId="0" xfId="0" applyFont="1"/>
    <xf numFmtId="178" fontId="0" fillId="0" borderId="0" xfId="0" applyNumberFormat="1"/>
    <xf numFmtId="44" fontId="40" fillId="0" borderId="0" xfId="0" applyNumberFormat="1" applyFont="1"/>
    <xf numFmtId="44" fontId="0" fillId="0" borderId="0" xfId="1" applyFont="1" applyFill="1" applyBorder="1" applyAlignment="1">
      <alignment vertical="center"/>
    </xf>
    <xf numFmtId="44" fontId="2" fillId="0" borderId="0" xfId="1" applyFont="1" applyFill="1" applyBorder="1" applyAlignment="1">
      <alignment vertical="center"/>
    </xf>
    <xf numFmtId="44" fontId="1" fillId="0" borderId="0" xfId="1" applyFont="1" applyFill="1" applyBorder="1" applyAlignment="1">
      <alignment horizontal="center" vertical="center" wrapText="1"/>
    </xf>
    <xf numFmtId="44" fontId="1" fillId="0" borderId="0" xfId="1" applyFont="1" applyBorder="1" applyAlignment="1">
      <alignment vertical="center" wrapText="1"/>
    </xf>
    <xf numFmtId="2" fontId="2" fillId="0" borderId="0" xfId="0" applyNumberFormat="1" applyFont="1"/>
    <xf numFmtId="168" fontId="6" fillId="0" borderId="0" xfId="0" applyNumberFormat="1" applyFont="1"/>
    <xf numFmtId="0" fontId="61" fillId="0" borderId="0" xfId="3" applyFont="1"/>
    <xf numFmtId="179" fontId="0" fillId="0" borderId="0" xfId="0" applyNumberFormat="1"/>
    <xf numFmtId="176" fontId="0" fillId="0" borderId="0" xfId="0" applyNumberFormat="1"/>
    <xf numFmtId="44" fontId="12" fillId="0" borderId="0" xfId="0" applyNumberFormat="1" applyFont="1" applyAlignment="1">
      <alignment vertical="center" wrapText="1"/>
    </xf>
    <xf numFmtId="44" fontId="12" fillId="0" borderId="1" xfId="0" applyNumberFormat="1" applyFont="1" applyBorder="1" applyAlignment="1">
      <alignment vertical="center" wrapText="1"/>
    </xf>
    <xf numFmtId="44" fontId="0" fillId="0" borderId="0" xfId="1" applyFont="1" applyFill="1" applyAlignment="1"/>
    <xf numFmtId="44" fontId="1" fillId="0" borderId="0" xfId="1" applyFont="1" applyFill="1" applyAlignment="1"/>
    <xf numFmtId="44" fontId="0" fillId="0" borderId="1" xfId="1" applyFont="1" applyBorder="1" applyAlignment="1"/>
    <xf numFmtId="44" fontId="0" fillId="0" borderId="0" xfId="1" applyFont="1" applyAlignment="1"/>
    <xf numFmtId="44" fontId="0" fillId="0" borderId="0" xfId="1" applyFont="1" applyFill="1" applyBorder="1" applyAlignment="1"/>
    <xf numFmtId="44" fontId="1" fillId="0" borderId="0" xfId="1" applyFont="1" applyFill="1" applyBorder="1" applyAlignment="1"/>
    <xf numFmtId="44" fontId="0" fillId="0" borderId="0" xfId="2" applyNumberFormat="1" applyFont="1"/>
    <xf numFmtId="44" fontId="42" fillId="0" borderId="0" xfId="0" applyNumberFormat="1" applyFont="1"/>
    <xf numFmtId="44" fontId="0" fillId="0" borderId="2" xfId="1" applyFont="1" applyBorder="1"/>
    <xf numFmtId="1" fontId="2" fillId="11" borderId="6" xfId="1" applyNumberFormat="1" applyFont="1" applyFill="1" applyBorder="1"/>
    <xf numFmtId="1" fontId="2" fillId="11" borderId="7" xfId="1" applyNumberFormat="1" applyFont="1" applyFill="1" applyBorder="1"/>
    <xf numFmtId="1" fontId="2" fillId="11" borderId="8" xfId="1" applyNumberFormat="1" applyFont="1" applyFill="1" applyBorder="1"/>
    <xf numFmtId="1" fontId="2" fillId="13" borderId="6" xfId="1" applyNumberFormat="1" applyFont="1" applyFill="1" applyBorder="1"/>
    <xf numFmtId="1" fontId="2" fillId="13" borderId="7" xfId="1" applyNumberFormat="1" applyFont="1" applyFill="1" applyBorder="1"/>
    <xf numFmtId="1" fontId="2" fillId="13" borderId="8" xfId="1" applyNumberFormat="1" applyFont="1" applyFill="1" applyBorder="1"/>
    <xf numFmtId="1" fontId="2" fillId="8" borderId="6" xfId="1" applyNumberFormat="1" applyFont="1" applyFill="1" applyBorder="1"/>
    <xf numFmtId="1" fontId="2" fillId="8" borderId="7" xfId="1" applyNumberFormat="1" applyFont="1" applyFill="1" applyBorder="1"/>
    <xf numFmtId="1" fontId="2" fillId="8" borderId="8" xfId="1" applyNumberFormat="1" applyFont="1" applyFill="1" applyBorder="1"/>
    <xf numFmtId="1" fontId="2" fillId="9" borderId="6" xfId="1" applyNumberFormat="1" applyFont="1" applyFill="1" applyBorder="1"/>
    <xf numFmtId="1" fontId="2" fillId="9" borderId="7" xfId="1" applyNumberFormat="1" applyFont="1" applyFill="1" applyBorder="1"/>
    <xf numFmtId="1" fontId="2" fillId="9" borderId="8" xfId="1" applyNumberFormat="1" applyFont="1" applyFill="1" applyBorder="1"/>
    <xf numFmtId="0" fontId="20" fillId="3" borderId="1" xfId="0" applyFont="1" applyFill="1" applyBorder="1" applyAlignment="1">
      <alignment horizontal="center" vertical="center"/>
    </xf>
    <xf numFmtId="165" fontId="0" fillId="2" borderId="0" xfId="2" applyNumberFormat="1" applyFont="1" applyFill="1" applyAlignment="1">
      <alignment horizontal="right"/>
    </xf>
    <xf numFmtId="0" fontId="63" fillId="0" borderId="0" xfId="0" applyFont="1"/>
    <xf numFmtId="9" fontId="15" fillId="0" borderId="0" xfId="2" applyFont="1"/>
    <xf numFmtId="9" fontId="15" fillId="0" borderId="0" xfId="2" applyFont="1" applyAlignment="1">
      <alignment horizontal="right"/>
    </xf>
    <xf numFmtId="0" fontId="2" fillId="0" borderId="10" xfId="0" applyFont="1" applyBorder="1" applyAlignment="1">
      <alignment horizontal="right" vertical="center"/>
    </xf>
    <xf numFmtId="0" fontId="2" fillId="0" borderId="10" xfId="4" applyFont="1" applyBorder="1" applyAlignment="1">
      <alignment vertical="center"/>
    </xf>
    <xf numFmtId="0" fontId="2" fillId="0" borderId="10" xfId="0" applyFont="1" applyBorder="1" applyAlignment="1">
      <alignment vertical="center"/>
    </xf>
    <xf numFmtId="0" fontId="2" fillId="0" borderId="10" xfId="4" applyFont="1" applyBorder="1" applyAlignment="1">
      <alignment horizontal="center" vertical="center"/>
    </xf>
    <xf numFmtId="171" fontId="2" fillId="0" borderId="10" xfId="4" applyNumberFormat="1" applyFont="1" applyBorder="1" applyAlignment="1">
      <alignment vertical="center"/>
    </xf>
    <xf numFmtId="0" fontId="0" fillId="0" borderId="7" xfId="4" applyFont="1" applyBorder="1" applyAlignment="1">
      <alignment vertical="center"/>
    </xf>
    <xf numFmtId="0" fontId="0" fillId="0" borderId="7" xfId="4" applyFont="1" applyBorder="1" applyAlignment="1">
      <alignment vertical="center" wrapText="1"/>
    </xf>
    <xf numFmtId="0" fontId="0" fillId="0" borderId="7" xfId="4" applyFont="1" applyBorder="1" applyAlignment="1">
      <alignment horizontal="center" vertical="center"/>
    </xf>
    <xf numFmtId="171" fontId="0" fillId="15" borderId="7" xfId="4" applyNumberFormat="1" applyFont="1" applyFill="1" applyBorder="1" applyAlignment="1">
      <alignment vertical="center"/>
    </xf>
    <xf numFmtId="3" fontId="0" fillId="15" borderId="7" xfId="0" applyNumberFormat="1" applyFill="1" applyBorder="1" applyAlignment="1">
      <alignment vertical="center"/>
    </xf>
    <xf numFmtId="3" fontId="2" fillId="0" borderId="10" xfId="0" applyNumberFormat="1" applyFont="1" applyBorder="1" applyAlignment="1">
      <alignment vertical="center"/>
    </xf>
    <xf numFmtId="3" fontId="0" fillId="15" borderId="0" xfId="0" applyNumberFormat="1" applyFill="1"/>
    <xf numFmtId="3" fontId="0" fillId="16" borderId="0" xfId="0" applyNumberFormat="1" applyFill="1"/>
    <xf numFmtId="3" fontId="0" fillId="15" borderId="7" xfId="0" applyNumberFormat="1" applyFill="1" applyBorder="1"/>
    <xf numFmtId="0" fontId="64" fillId="0" borderId="0" xfId="0" applyFont="1"/>
    <xf numFmtId="0" fontId="0" fillId="0" borderId="0" xfId="0" applyAlignment="1">
      <alignment horizontal="left" indent="1"/>
    </xf>
    <xf numFmtId="0" fontId="65" fillId="0" borderId="0" xfId="0" applyFont="1"/>
    <xf numFmtId="2" fontId="0" fillId="0" borderId="0" xfId="2" applyNumberFormat="1" applyFont="1" applyAlignment="1">
      <alignment horizontal="right"/>
    </xf>
    <xf numFmtId="0" fontId="7" fillId="3" borderId="10" xfId="0" applyFont="1" applyFill="1" applyBorder="1" applyAlignment="1">
      <alignment horizontal="center" vertical="center"/>
    </xf>
    <xf numFmtId="0" fontId="7" fillId="4" borderId="10" xfId="0" applyFont="1" applyFill="1" applyBorder="1" applyAlignment="1">
      <alignment horizontal="center" vertical="center"/>
    </xf>
    <xf numFmtId="0" fontId="7" fillId="5" borderId="10" xfId="0" applyFont="1" applyFill="1" applyBorder="1" applyAlignment="1">
      <alignment horizontal="center" vertical="center"/>
    </xf>
    <xf numFmtId="0" fontId="7" fillId="6" borderId="10" xfId="0" applyFont="1" applyFill="1" applyBorder="1" applyAlignment="1">
      <alignment horizontal="center" vertical="center"/>
    </xf>
    <xf numFmtId="1" fontId="0" fillId="0" borderId="1" xfId="2" applyNumberFormat="1" applyFont="1" applyBorder="1"/>
    <xf numFmtId="10" fontId="0" fillId="21" borderId="1" xfId="2" applyNumberFormat="1" applyFont="1" applyFill="1" applyBorder="1"/>
    <xf numFmtId="165" fontId="40" fillId="0" borderId="0" xfId="2" applyNumberFormat="1" applyFont="1"/>
    <xf numFmtId="0" fontId="0" fillId="0" borderId="0" xfId="0" applyAlignment="1">
      <alignment horizontal="center" wrapText="1"/>
    </xf>
    <xf numFmtId="0" fontId="15" fillId="0" borderId="0" xfId="0" applyFont="1" applyAlignment="1">
      <alignment horizontal="right" vertical="center"/>
    </xf>
    <xf numFmtId="0" fontId="0" fillId="0" borderId="2" xfId="0" applyBorder="1"/>
    <xf numFmtId="3" fontId="7" fillId="3" borderId="11" xfId="0" applyNumberFormat="1" applyFont="1" applyFill="1" applyBorder="1" applyAlignment="1">
      <alignment horizontal="center" vertical="center" wrapText="1"/>
    </xf>
    <xf numFmtId="2" fontId="0" fillId="0" borderId="2" xfId="0" applyNumberFormat="1" applyBorder="1"/>
    <xf numFmtId="0" fontId="0" fillId="25" borderId="2" xfId="0" applyFill="1" applyBorder="1"/>
    <xf numFmtId="2" fontId="66" fillId="0" borderId="0" xfId="0" applyNumberFormat="1" applyFont="1"/>
    <xf numFmtId="2" fontId="66" fillId="0" borderId="0" xfId="0" applyNumberFormat="1" applyFont="1" applyAlignment="1">
      <alignment horizontal="right"/>
    </xf>
    <xf numFmtId="2" fontId="21" fillId="0" borderId="0" xfId="0" applyNumberFormat="1" applyFont="1" applyAlignment="1">
      <alignment horizontal="center"/>
    </xf>
    <xf numFmtId="0" fontId="4" fillId="0" borderId="0" xfId="3"/>
    <xf numFmtId="0" fontId="0" fillId="0" borderId="0" xfId="0" applyAlignment="1">
      <alignment horizontal="left" vertical="top"/>
    </xf>
    <xf numFmtId="0" fontId="29" fillId="0" borderId="0" xfId="0" applyFont="1" applyAlignment="1">
      <alignment horizontal="center" vertical="center"/>
    </xf>
    <xf numFmtId="0" fontId="1" fillId="0" borderId="0" xfId="0" applyFont="1" applyAlignment="1">
      <alignment horizontal="right"/>
    </xf>
    <xf numFmtId="0" fontId="67" fillId="0" borderId="0" xfId="0" applyFont="1"/>
    <xf numFmtId="180" fontId="0" fillId="0" borderId="0" xfId="0" applyNumberFormat="1" applyAlignment="1">
      <alignment vertical="center"/>
    </xf>
    <xf numFmtId="3" fontId="0" fillId="0" borderId="0" xfId="0" applyNumberFormat="1" applyAlignment="1">
      <alignment vertical="center"/>
    </xf>
    <xf numFmtId="171" fontId="0" fillId="0" borderId="0" xfId="4" applyNumberFormat="1" applyFont="1" applyAlignment="1">
      <alignment vertical="center"/>
    </xf>
    <xf numFmtId="182" fontId="69" fillId="0" borderId="0" xfId="0" applyNumberFormat="1" applyFont="1" applyAlignment="1">
      <alignment horizontal="right" vertical="center"/>
    </xf>
    <xf numFmtId="183" fontId="0" fillId="0" borderId="0" xfId="0" applyNumberFormat="1" applyAlignment="1">
      <alignment vertical="center"/>
    </xf>
    <xf numFmtId="9" fontId="0" fillId="0" borderId="0" xfId="2" applyFont="1" applyAlignment="1">
      <alignment vertical="center"/>
    </xf>
    <xf numFmtId="182" fontId="70" fillId="0" borderId="0" xfId="0" applyNumberFormat="1" applyFont="1" applyAlignment="1">
      <alignment horizontal="right" vertical="center"/>
    </xf>
    <xf numFmtId="0" fontId="71" fillId="0" borderId="0" xfId="0" applyFont="1" applyAlignment="1">
      <alignment horizontal="right" vertical="center"/>
    </xf>
    <xf numFmtId="10" fontId="0" fillId="0" borderId="0" xfId="2" applyNumberFormat="1" applyFont="1" applyAlignment="1">
      <alignment vertical="center"/>
    </xf>
    <xf numFmtId="0" fontId="0" fillId="3" borderId="0" xfId="0" applyFill="1" applyAlignment="1">
      <alignment horizontal="center" vertical="center"/>
    </xf>
    <xf numFmtId="0" fontId="0" fillId="4" borderId="0" xfId="0" applyFill="1" applyAlignment="1">
      <alignment horizontal="center" vertical="center"/>
    </xf>
    <xf numFmtId="0" fontId="0" fillId="5" borderId="0" xfId="0" applyFill="1" applyAlignment="1">
      <alignment horizontal="center" vertical="center"/>
    </xf>
    <xf numFmtId="0" fontId="0" fillId="6" borderId="0" xfId="0" applyFill="1" applyAlignment="1">
      <alignment horizontal="center" vertical="center"/>
    </xf>
    <xf numFmtId="0" fontId="0" fillId="0" borderId="0" xfId="1" applyNumberFormat="1" applyFont="1" applyFill="1" applyBorder="1" applyAlignment="1">
      <alignment vertical="center"/>
    </xf>
    <xf numFmtId="177" fontId="0" fillId="0" borderId="0" xfId="0" applyNumberFormat="1" applyAlignment="1">
      <alignment vertical="center"/>
    </xf>
    <xf numFmtId="165" fontId="0" fillId="0" borderId="0" xfId="2" applyNumberFormat="1" applyFont="1" applyBorder="1" applyAlignment="1">
      <alignment vertical="center"/>
    </xf>
    <xf numFmtId="177" fontId="0" fillId="0" borderId="7" xfId="0" applyNumberFormat="1" applyBorder="1"/>
    <xf numFmtId="165" fontId="0" fillId="0" borderId="7" xfId="2" applyNumberFormat="1" applyFont="1" applyBorder="1"/>
    <xf numFmtId="0" fontId="0" fillId="0" borderId="7" xfId="0" applyBorder="1" applyAlignment="1">
      <alignment horizontal="center" vertical="center"/>
    </xf>
    <xf numFmtId="43" fontId="0" fillId="0" borderId="0" xfId="0" applyNumberFormat="1"/>
    <xf numFmtId="165" fontId="0" fillId="0" borderId="0" xfId="2" applyNumberFormat="1" applyFont="1" applyFill="1" applyBorder="1" applyAlignment="1">
      <alignment vertical="center"/>
    </xf>
    <xf numFmtId="171" fontId="0" fillId="18" borderId="2" xfId="4" applyNumberFormat="1" applyFont="1" applyFill="1" applyBorder="1" applyAlignment="1">
      <alignment vertical="center"/>
    </xf>
    <xf numFmtId="171" fontId="0" fillId="0" borderId="2" xfId="4" applyNumberFormat="1" applyFont="1" applyBorder="1" applyAlignment="1">
      <alignment vertical="center"/>
    </xf>
    <xf numFmtId="171" fontId="0" fillId="15" borderId="2" xfId="4" applyNumberFormat="1" applyFont="1" applyFill="1" applyBorder="1" applyAlignment="1">
      <alignment vertical="center"/>
    </xf>
    <xf numFmtId="171" fontId="0" fillId="16" borderId="2" xfId="4" applyNumberFormat="1" applyFont="1" applyFill="1" applyBorder="1" applyAlignment="1">
      <alignment vertical="center"/>
    </xf>
    <xf numFmtId="171" fontId="0" fillId="19" borderId="2" xfId="4" applyNumberFormat="1" applyFont="1" applyFill="1" applyBorder="1" applyAlignment="1">
      <alignment vertical="center"/>
    </xf>
    <xf numFmtId="171" fontId="0" fillId="20" borderId="2" xfId="4" applyNumberFormat="1" applyFont="1" applyFill="1" applyBorder="1" applyAlignment="1">
      <alignment vertical="center"/>
    </xf>
    <xf numFmtId="171" fontId="0" fillId="15" borderId="8" xfId="4" applyNumberFormat="1" applyFont="1" applyFill="1" applyBorder="1" applyAlignment="1">
      <alignment vertical="center"/>
    </xf>
    <xf numFmtId="171" fontId="2" fillId="0" borderId="11" xfId="4" applyNumberFormat="1" applyFont="1" applyBorder="1" applyAlignment="1">
      <alignment vertical="center"/>
    </xf>
    <xf numFmtId="171" fontId="0" fillId="21" borderId="2" xfId="4" applyNumberFormat="1" applyFont="1" applyFill="1" applyBorder="1" applyAlignment="1">
      <alignment vertical="center"/>
    </xf>
    <xf numFmtId="0" fontId="0" fillId="0" borderId="2" xfId="4" applyFont="1" applyBorder="1" applyAlignment="1">
      <alignment vertical="center"/>
    </xf>
    <xf numFmtId="3" fontId="0" fillId="15" borderId="2" xfId="0" applyNumberFormat="1" applyFill="1" applyBorder="1" applyAlignment="1">
      <alignment vertical="center"/>
    </xf>
    <xf numFmtId="171" fontId="0" fillId="17" borderId="2" xfId="4" applyNumberFormat="1" applyFont="1" applyFill="1" applyBorder="1" applyAlignment="1">
      <alignment vertical="center"/>
    </xf>
    <xf numFmtId="3" fontId="2" fillId="0" borderId="11" xfId="0" applyNumberFormat="1" applyFont="1" applyBorder="1" applyAlignment="1">
      <alignment vertical="center"/>
    </xf>
    <xf numFmtId="171" fontId="0" fillId="18" borderId="24" xfId="4" applyNumberFormat="1" applyFont="1" applyFill="1" applyBorder="1" applyAlignment="1">
      <alignment vertical="center"/>
    </xf>
    <xf numFmtId="171" fontId="0" fillId="0" borderId="24" xfId="4" applyNumberFormat="1" applyFont="1" applyBorder="1" applyAlignment="1">
      <alignment vertical="center"/>
    </xf>
    <xf numFmtId="171" fontId="0" fillId="15" borderId="24" xfId="4" applyNumberFormat="1" applyFont="1" applyFill="1" applyBorder="1" applyAlignment="1">
      <alignment vertical="center"/>
    </xf>
    <xf numFmtId="171" fontId="0" fillId="16" borderId="24" xfId="4" applyNumberFormat="1" applyFont="1" applyFill="1" applyBorder="1" applyAlignment="1">
      <alignment vertical="center"/>
    </xf>
    <xf numFmtId="171" fontId="0" fillId="19" borderId="24" xfId="4" applyNumberFormat="1" applyFont="1" applyFill="1" applyBorder="1" applyAlignment="1">
      <alignment vertical="center"/>
    </xf>
    <xf numFmtId="171" fontId="0" fillId="20" borderId="24" xfId="4" applyNumberFormat="1" applyFont="1" applyFill="1" applyBorder="1" applyAlignment="1">
      <alignment vertical="center"/>
    </xf>
    <xf numFmtId="171" fontId="0" fillId="15" borderId="25" xfId="4" applyNumberFormat="1" applyFont="1" applyFill="1" applyBorder="1" applyAlignment="1">
      <alignment vertical="center"/>
    </xf>
    <xf numFmtId="171" fontId="2" fillId="0" borderId="23" xfId="4" applyNumberFormat="1" applyFont="1" applyBorder="1" applyAlignment="1">
      <alignment vertical="center"/>
    </xf>
    <xf numFmtId="171" fontId="0" fillId="21" borderId="24" xfId="4" applyNumberFormat="1" applyFont="1" applyFill="1" applyBorder="1" applyAlignment="1">
      <alignment vertical="center"/>
    </xf>
    <xf numFmtId="0" fontId="0" fillId="0" borderId="24" xfId="4" applyFont="1" applyBorder="1" applyAlignment="1">
      <alignment vertical="center"/>
    </xf>
    <xf numFmtId="3" fontId="0" fillId="15" borderId="24" xfId="0" applyNumberFormat="1" applyFill="1" applyBorder="1" applyAlignment="1">
      <alignment vertical="center"/>
    </xf>
    <xf numFmtId="171" fontId="0" fillId="17" borderId="24" xfId="4" applyNumberFormat="1" applyFont="1" applyFill="1" applyBorder="1" applyAlignment="1">
      <alignment vertical="center"/>
    </xf>
    <xf numFmtId="3" fontId="2" fillId="0" borderId="23" xfId="0" applyNumberFormat="1" applyFont="1" applyBorder="1" applyAlignment="1">
      <alignment vertical="center"/>
    </xf>
    <xf numFmtId="0" fontId="0" fillId="0" borderId="11" xfId="0" applyBorder="1" applyAlignment="1">
      <alignment vertical="center"/>
    </xf>
    <xf numFmtId="0" fontId="0" fillId="0" borderId="10" xfId="0" applyBorder="1" applyAlignment="1">
      <alignment vertical="center"/>
    </xf>
    <xf numFmtId="0" fontId="0" fillId="0" borderId="23" xfId="0" applyBorder="1" applyAlignment="1">
      <alignment vertical="center"/>
    </xf>
    <xf numFmtId="0" fontId="0" fillId="3" borderId="26" xfId="0" applyFill="1" applyBorder="1" applyAlignment="1">
      <alignment horizontal="center" vertical="center"/>
    </xf>
    <xf numFmtId="0" fontId="0" fillId="4" borderId="27" xfId="0" applyFill="1" applyBorder="1" applyAlignment="1">
      <alignment horizontal="center" vertical="center"/>
    </xf>
    <xf numFmtId="0" fontId="0" fillId="5" borderId="27" xfId="0" applyFill="1" applyBorder="1" applyAlignment="1">
      <alignment horizontal="center" vertical="center"/>
    </xf>
    <xf numFmtId="0" fontId="0" fillId="6" borderId="28" xfId="0" applyFill="1" applyBorder="1" applyAlignment="1">
      <alignment horizontal="center" vertical="center"/>
    </xf>
    <xf numFmtId="2" fontId="0" fillId="0" borderId="0" xfId="1" applyNumberFormat="1" applyFont="1"/>
    <xf numFmtId="2" fontId="0" fillId="0" borderId="7" xfId="2" applyNumberFormat="1" applyFont="1" applyBorder="1"/>
    <xf numFmtId="2" fontId="0" fillId="0" borderId="7" xfId="0" applyNumberFormat="1" applyBorder="1" applyAlignment="1">
      <alignment horizontal="center" vertical="center"/>
    </xf>
    <xf numFmtId="0" fontId="2" fillId="0" borderId="0" xfId="0" applyFont="1" applyAlignment="1">
      <alignment horizontal="left" vertical="top"/>
    </xf>
    <xf numFmtId="0" fontId="0" fillId="0" borderId="0" xfId="1" applyNumberFormat="1" applyFont="1" applyFill="1" applyBorder="1"/>
    <xf numFmtId="0" fontId="0" fillId="27" borderId="0" xfId="0" applyFill="1"/>
    <xf numFmtId="171" fontId="0" fillId="27" borderId="2" xfId="4" applyNumberFormat="1" applyFont="1" applyFill="1" applyBorder="1" applyAlignment="1">
      <alignment vertical="center"/>
    </xf>
    <xf numFmtId="171" fontId="0" fillId="27" borderId="0" xfId="4" applyNumberFormat="1" applyFont="1" applyFill="1" applyAlignment="1">
      <alignment vertical="center"/>
    </xf>
    <xf numFmtId="171" fontId="0" fillId="27" borderId="24" xfId="4" applyNumberFormat="1" applyFont="1" applyFill="1" applyBorder="1" applyAlignment="1">
      <alignment vertical="center"/>
    </xf>
    <xf numFmtId="3" fontId="0" fillId="27" borderId="0" xfId="0" applyNumberFormat="1" applyFill="1" applyAlignment="1">
      <alignment vertical="center"/>
    </xf>
    <xf numFmtId="3" fontId="0" fillId="27" borderId="0" xfId="0" applyNumberFormat="1" applyFill="1"/>
    <xf numFmtId="3" fontId="0" fillId="27" borderId="0" xfId="4" applyNumberFormat="1" applyFont="1" applyFill="1" applyAlignment="1">
      <alignment vertical="center"/>
    </xf>
    <xf numFmtId="3" fontId="0" fillId="27" borderId="0" xfId="4" applyNumberFormat="1" applyFont="1" applyFill="1" applyAlignment="1">
      <alignment vertical="center" wrapText="1"/>
    </xf>
    <xf numFmtId="165" fontId="0" fillId="21" borderId="0" xfId="2" applyNumberFormat="1" applyFont="1" applyFill="1" applyAlignment="1">
      <alignment horizontal="right"/>
    </xf>
    <xf numFmtId="0" fontId="2" fillId="0" borderId="0" xfId="0" applyFont="1" applyAlignment="1">
      <alignment vertical="top"/>
    </xf>
    <xf numFmtId="0" fontId="0" fillId="0" borderId="0" xfId="0" applyAlignment="1">
      <alignment vertical="top"/>
    </xf>
    <xf numFmtId="2" fontId="0" fillId="0" borderId="0" xfId="4" applyNumberFormat="1" applyFont="1" applyAlignment="1">
      <alignment vertical="center" wrapText="1"/>
    </xf>
    <xf numFmtId="43" fontId="0" fillId="0" borderId="0" xfId="0" applyNumberFormat="1" applyAlignment="1">
      <alignment vertical="center"/>
    </xf>
    <xf numFmtId="166" fontId="15" fillId="0" borderId="0" xfId="0" applyNumberFormat="1" applyFont="1" applyAlignment="1">
      <alignment horizontal="right"/>
    </xf>
    <xf numFmtId="4" fontId="15" fillId="0" borderId="0" xfId="0" applyNumberFormat="1" applyFont="1" applyAlignment="1">
      <alignment horizontal="right"/>
    </xf>
    <xf numFmtId="0" fontId="0" fillId="11" borderId="0" xfId="0" applyFill="1" applyAlignment="1">
      <alignment horizontal="center"/>
    </xf>
    <xf numFmtId="44" fontId="1" fillId="0" borderId="0" xfId="1" applyFont="1"/>
    <xf numFmtId="44" fontId="0" fillId="2" borderId="0" xfId="0" applyNumberFormat="1" applyFill="1"/>
    <xf numFmtId="0" fontId="15" fillId="0" borderId="0" xfId="0" applyFont="1" applyAlignment="1">
      <alignment horizontal="left"/>
    </xf>
    <xf numFmtId="39" fontId="15" fillId="0" borderId="0" xfId="1" applyNumberFormat="1" applyFont="1" applyAlignment="1">
      <alignment horizontal="right"/>
    </xf>
    <xf numFmtId="44" fontId="0" fillId="0" borderId="29" xfId="1" applyFont="1" applyBorder="1"/>
    <xf numFmtId="0" fontId="57" fillId="0" borderId="10" xfId="0" applyFont="1" applyBorder="1" applyAlignment="1">
      <alignment horizontal="right"/>
    </xf>
    <xf numFmtId="0" fontId="15" fillId="0" borderId="10" xfId="0" applyFont="1" applyBorder="1" applyAlignment="1">
      <alignment horizontal="right"/>
    </xf>
    <xf numFmtId="39" fontId="0" fillId="0" borderId="0" xfId="0" applyNumberFormat="1"/>
    <xf numFmtId="0" fontId="9" fillId="22" borderId="10" xfId="0" applyFont="1" applyFill="1" applyBorder="1" applyAlignment="1">
      <alignment horizontal="center" vertical="center"/>
    </xf>
    <xf numFmtId="0" fontId="9" fillId="22" borderId="0" xfId="0" applyFont="1" applyFill="1" applyAlignment="1">
      <alignment horizontal="center" vertical="center"/>
    </xf>
    <xf numFmtId="0" fontId="9" fillId="10" borderId="10" xfId="0" applyFont="1" applyFill="1" applyBorder="1" applyAlignment="1">
      <alignment horizontal="center" vertical="center"/>
    </xf>
    <xf numFmtId="0" fontId="9" fillId="10" borderId="0" xfId="0" applyFont="1" applyFill="1" applyAlignment="1">
      <alignment horizontal="center" vertical="center"/>
    </xf>
    <xf numFmtId="0" fontId="9" fillId="23" borderId="10" xfId="0" applyFont="1" applyFill="1" applyBorder="1" applyAlignment="1">
      <alignment horizontal="center" vertical="center"/>
    </xf>
    <xf numFmtId="0" fontId="9" fillId="23" borderId="0" xfId="0" applyFont="1" applyFill="1" applyAlignment="1">
      <alignment horizontal="center" vertical="center"/>
    </xf>
    <xf numFmtId="0" fontId="9" fillId="24" borderId="10" xfId="0" applyFont="1" applyFill="1" applyBorder="1" applyAlignment="1">
      <alignment horizontal="center" vertical="center"/>
    </xf>
    <xf numFmtId="0" fontId="9" fillId="24" borderId="0" xfId="0" applyFont="1" applyFill="1" applyAlignment="1">
      <alignment horizontal="center" vertical="center"/>
    </xf>
    <xf numFmtId="0" fontId="0" fillId="0" borderId="0" xfId="0" applyAlignment="1">
      <alignment horizontal="right" vertical="top"/>
    </xf>
    <xf numFmtId="165" fontId="1" fillId="21" borderId="0" xfId="2" applyNumberFormat="1" applyFont="1" applyFill="1" applyBorder="1"/>
    <xf numFmtId="165" fontId="1" fillId="0" borderId="1" xfId="2" applyNumberFormat="1" applyFont="1" applyBorder="1" applyAlignment="1">
      <alignment vertical="center"/>
    </xf>
    <xf numFmtId="165" fontId="1" fillId="0" borderId="0" xfId="2" applyNumberFormat="1" applyFont="1" applyBorder="1" applyAlignment="1">
      <alignment vertical="center"/>
    </xf>
    <xf numFmtId="165" fontId="15" fillId="0" borderId="0" xfId="2" applyNumberFormat="1" applyFont="1"/>
    <xf numFmtId="165" fontId="1" fillId="21" borderId="1" xfId="2" applyNumberFormat="1" applyFont="1" applyFill="1" applyBorder="1" applyAlignment="1">
      <alignment vertical="center"/>
    </xf>
    <xf numFmtId="165" fontId="15" fillId="0" borderId="1" xfId="2" applyNumberFormat="1" applyFont="1" applyBorder="1"/>
    <xf numFmtId="2" fontId="1" fillId="0" borderId="0" xfId="2" applyNumberFormat="1" applyFont="1" applyBorder="1" applyAlignment="1">
      <alignment vertical="center"/>
    </xf>
    <xf numFmtId="2" fontId="1" fillId="21" borderId="0" xfId="2" applyNumberFormat="1" applyFont="1" applyFill="1" applyBorder="1"/>
    <xf numFmtId="2" fontId="0" fillId="21" borderId="0" xfId="2" applyNumberFormat="1" applyFont="1" applyFill="1" applyAlignment="1">
      <alignment horizontal="right"/>
    </xf>
    <xf numFmtId="0" fontId="20" fillId="11" borderId="10" xfId="0" applyFont="1" applyFill="1" applyBorder="1" applyAlignment="1">
      <alignment horizontal="center" vertical="center"/>
    </xf>
    <xf numFmtId="2" fontId="0" fillId="0" borderId="0" xfId="0" applyNumberFormat="1" applyAlignment="1">
      <alignment horizontal="right" vertical="center"/>
    </xf>
    <xf numFmtId="0" fontId="20" fillId="3" borderId="10" xfId="0" applyFont="1" applyFill="1" applyBorder="1" applyAlignment="1">
      <alignment horizontal="center" vertical="center"/>
    </xf>
    <xf numFmtId="0" fontId="20" fillId="4" borderId="10" xfId="0" applyFont="1" applyFill="1" applyBorder="1" applyAlignment="1">
      <alignment horizontal="center" vertical="center"/>
    </xf>
    <xf numFmtId="0" fontId="20" fillId="5" borderId="10" xfId="0" applyFont="1" applyFill="1" applyBorder="1" applyAlignment="1">
      <alignment horizontal="center" vertical="center"/>
    </xf>
    <xf numFmtId="0" fontId="20" fillId="6" borderId="10" xfId="0" applyFont="1" applyFill="1" applyBorder="1" applyAlignment="1">
      <alignment horizontal="center" vertical="center"/>
    </xf>
    <xf numFmtId="165" fontId="0" fillId="25" borderId="0" xfId="2" applyNumberFormat="1" applyFont="1" applyFill="1" applyAlignment="1">
      <alignment horizontal="right"/>
    </xf>
    <xf numFmtId="2" fontId="0" fillId="25" borderId="0" xfId="2" applyNumberFormat="1" applyFont="1" applyFill="1" applyAlignment="1">
      <alignment horizontal="right"/>
    </xf>
    <xf numFmtId="2" fontId="20" fillId="0" borderId="0" xfId="2" applyNumberFormat="1" applyFont="1" applyFill="1" applyBorder="1" applyAlignment="1">
      <alignment vertical="center"/>
    </xf>
    <xf numFmtId="2" fontId="0" fillId="0" borderId="0" xfId="0" applyNumberFormat="1" applyAlignment="1">
      <alignment horizontal="center" vertical="center" wrapText="1"/>
    </xf>
    <xf numFmtId="2" fontId="0" fillId="21" borderId="0" xfId="0" applyNumberFormat="1" applyFill="1"/>
    <xf numFmtId="168" fontId="0" fillId="0" borderId="0" xfId="0" applyNumberFormat="1"/>
    <xf numFmtId="0" fontId="0" fillId="0" borderId="30" xfId="0" applyBorder="1" applyAlignment="1">
      <alignment horizontal="center"/>
    </xf>
    <xf numFmtId="177" fontId="0" fillId="0" borderId="24" xfId="0" applyNumberFormat="1" applyBorder="1"/>
    <xf numFmtId="177" fontId="0" fillId="0" borderId="25" xfId="0" applyNumberFormat="1" applyBorder="1"/>
    <xf numFmtId="165" fontId="2" fillId="0" borderId="31" xfId="2" applyNumberFormat="1" applyFont="1" applyBorder="1" applyAlignment="1">
      <alignment horizontal="center" wrapText="1"/>
    </xf>
    <xf numFmtId="165" fontId="2" fillId="0" borderId="19" xfId="2" applyNumberFormat="1" applyFont="1" applyBorder="1" applyAlignment="1">
      <alignment horizontal="center" wrapText="1"/>
    </xf>
    <xf numFmtId="165" fontId="72" fillId="0" borderId="19" xfId="2" applyNumberFormat="1" applyFont="1" applyBorder="1" applyAlignment="1">
      <alignment horizontal="center" wrapText="1"/>
    </xf>
    <xf numFmtId="44" fontId="0" fillId="0" borderId="1" xfId="0" applyNumberFormat="1" applyBorder="1"/>
    <xf numFmtId="44" fontId="0" fillId="2" borderId="1" xfId="0" applyNumberFormat="1" applyFill="1" applyBorder="1"/>
    <xf numFmtId="2" fontId="7" fillId="0" borderId="0" xfId="0" applyNumberFormat="1" applyFont="1" applyAlignment="1">
      <alignment horizontal="right" vertical="center" wrapText="1"/>
    </xf>
    <xf numFmtId="3" fontId="7" fillId="0" borderId="0" xfId="0" applyNumberFormat="1" applyFont="1" applyAlignment="1">
      <alignment horizontal="center" vertical="center"/>
    </xf>
    <xf numFmtId="44" fontId="0" fillId="0" borderId="0" xfId="1" applyFont="1" applyFill="1" applyBorder="1" applyAlignment="1">
      <alignment horizontal="right"/>
    </xf>
    <xf numFmtId="3" fontId="7" fillId="0" borderId="0" xfId="0" applyNumberFormat="1" applyFont="1" applyAlignment="1">
      <alignment vertical="center" wrapText="1"/>
    </xf>
    <xf numFmtId="0" fontId="73" fillId="0" borderId="0" xfId="0" applyFont="1" applyAlignment="1">
      <alignment horizontal="center" vertical="center"/>
    </xf>
    <xf numFmtId="44" fontId="74" fillId="0" borderId="0" xfId="1" applyFont="1" applyFill="1" applyBorder="1"/>
    <xf numFmtId="44" fontId="74" fillId="2" borderId="0" xfId="1" applyFont="1" applyFill="1"/>
    <xf numFmtId="165" fontId="75" fillId="0" borderId="19" xfId="2" applyNumberFormat="1" applyFont="1" applyBorder="1" applyAlignment="1">
      <alignment horizontal="center" wrapText="1"/>
    </xf>
    <xf numFmtId="165" fontId="20" fillId="0" borderId="0" xfId="2" applyNumberFormat="1" applyFont="1" applyFill="1" applyBorder="1" applyAlignment="1">
      <alignment vertical="center"/>
    </xf>
    <xf numFmtId="165" fontId="20" fillId="25" borderId="0" xfId="2" applyNumberFormat="1" applyFont="1" applyFill="1" applyBorder="1" applyAlignment="1">
      <alignment vertical="center"/>
    </xf>
    <xf numFmtId="0" fontId="0" fillId="0" borderId="0" xfId="0" applyAlignment="1">
      <alignment horizontal="left" vertical="top" wrapText="1"/>
    </xf>
    <xf numFmtId="0" fontId="0" fillId="0" borderId="0" xfId="0" applyAlignment="1">
      <alignment horizontal="center" vertical="center"/>
    </xf>
    <xf numFmtId="0" fontId="0" fillId="0" borderId="6" xfId="0" applyBorder="1" applyAlignment="1">
      <alignment horizontal="center"/>
    </xf>
    <xf numFmtId="0" fontId="0" fillId="0" borderId="7" xfId="0" applyBorder="1" applyAlignment="1">
      <alignment horizontal="center"/>
    </xf>
    <xf numFmtId="0" fontId="0" fillId="0" borderId="3" xfId="0" applyBorder="1" applyAlignment="1">
      <alignment horizontal="center" vertical="center" wrapText="1"/>
    </xf>
    <xf numFmtId="0" fontId="0" fillId="0" borderId="1" xfId="0" applyBorder="1" applyAlignment="1">
      <alignment horizontal="center" vertical="center" wrapText="1"/>
    </xf>
    <xf numFmtId="0" fontId="0" fillId="0" borderId="4" xfId="0" applyBorder="1" applyAlignment="1">
      <alignment horizontal="center" vertical="center"/>
    </xf>
    <xf numFmtId="0" fontId="0" fillId="0" borderId="1" xfId="0" applyBorder="1" applyAlignment="1">
      <alignment horizontal="center" vertical="center"/>
    </xf>
    <xf numFmtId="0" fontId="0" fillId="0" borderId="3" xfId="0" applyBorder="1" applyAlignment="1">
      <alignment horizontal="center"/>
    </xf>
    <xf numFmtId="0" fontId="0" fillId="0" borderId="4" xfId="0" applyBorder="1" applyAlignment="1">
      <alignment horizontal="center"/>
    </xf>
    <xf numFmtId="0" fontId="0" fillId="0" borderId="0" xfId="0" applyAlignment="1">
      <alignment horizontal="center"/>
    </xf>
    <xf numFmtId="9" fontId="0" fillId="11" borderId="0" xfId="2" applyFont="1" applyFill="1" applyBorder="1" applyAlignment="1">
      <alignment horizontal="center"/>
    </xf>
    <xf numFmtId="9" fontId="0" fillId="8" borderId="0" xfId="2" applyFont="1" applyFill="1" applyBorder="1" applyAlignment="1">
      <alignment horizontal="center"/>
    </xf>
    <xf numFmtId="9" fontId="0" fillId="9" borderId="0" xfId="2" applyFont="1" applyFill="1" applyBorder="1" applyAlignment="1">
      <alignment horizontal="center"/>
    </xf>
    <xf numFmtId="9" fontId="0" fillId="9" borderId="2" xfId="2" applyFont="1" applyFill="1" applyBorder="1" applyAlignment="1">
      <alignment horizontal="center"/>
    </xf>
    <xf numFmtId="0" fontId="0" fillId="11" borderId="0" xfId="0" applyFill="1" applyAlignment="1">
      <alignment horizontal="center"/>
    </xf>
    <xf numFmtId="0" fontId="0" fillId="13" borderId="0" xfId="0" applyFill="1" applyAlignment="1">
      <alignment horizontal="center"/>
    </xf>
    <xf numFmtId="0" fontId="0" fillId="13" borderId="2" xfId="0" applyFill="1" applyBorder="1" applyAlignment="1">
      <alignment horizontal="center"/>
    </xf>
    <xf numFmtId="0" fontId="0" fillId="8" borderId="0" xfId="0" applyFill="1" applyAlignment="1">
      <alignment horizontal="center"/>
    </xf>
    <xf numFmtId="0" fontId="0" fillId="9" borderId="0" xfId="0" applyFill="1" applyAlignment="1">
      <alignment horizontal="center"/>
    </xf>
    <xf numFmtId="0" fontId="0" fillId="9" borderId="2" xfId="0" applyFill="1" applyBorder="1" applyAlignment="1">
      <alignment horizontal="center"/>
    </xf>
    <xf numFmtId="9" fontId="0" fillId="13" borderId="0" xfId="2" applyFont="1" applyFill="1" applyBorder="1" applyAlignment="1">
      <alignment horizontal="center"/>
    </xf>
    <xf numFmtId="9" fontId="0" fillId="13" borderId="2" xfId="2" applyFont="1" applyFill="1" applyBorder="1" applyAlignment="1">
      <alignment horizontal="center"/>
    </xf>
    <xf numFmtId="0" fontId="0" fillId="11" borderId="1" xfId="0" applyFill="1" applyBorder="1" applyAlignment="1">
      <alignment horizontal="left" wrapText="1"/>
    </xf>
    <xf numFmtId="0" fontId="0" fillId="11" borderId="0" xfId="0" applyFill="1" applyAlignment="1">
      <alignment horizontal="left" wrapText="1"/>
    </xf>
    <xf numFmtId="0" fontId="0" fillId="13" borderId="1" xfId="0" applyFill="1" applyBorder="1" applyAlignment="1">
      <alignment horizontal="left" wrapText="1"/>
    </xf>
    <xf numFmtId="0" fontId="0" fillId="13" borderId="0" xfId="0" applyFill="1" applyAlignment="1">
      <alignment horizontal="left" wrapText="1"/>
    </xf>
    <xf numFmtId="0" fontId="0" fillId="13" borderId="2" xfId="0" applyFill="1" applyBorder="1" applyAlignment="1">
      <alignment horizontal="left" wrapText="1"/>
    </xf>
    <xf numFmtId="0" fontId="0" fillId="8" borderId="0" xfId="0" applyFill="1" applyAlignment="1">
      <alignment horizontal="left" wrapText="1"/>
    </xf>
    <xf numFmtId="0" fontId="0" fillId="9" borderId="1" xfId="0" applyFill="1" applyBorder="1" applyAlignment="1">
      <alignment horizontal="left" wrapText="1"/>
    </xf>
    <xf numFmtId="0" fontId="0" fillId="9" borderId="0" xfId="0" applyFill="1" applyAlignment="1">
      <alignment horizontal="left" wrapText="1"/>
    </xf>
    <xf numFmtId="0" fontId="0" fillId="9" borderId="2" xfId="0" applyFill="1" applyBorder="1" applyAlignment="1">
      <alignment horizontal="left" wrapText="1"/>
    </xf>
    <xf numFmtId="0" fontId="0" fillId="11" borderId="0" xfId="0" applyFill="1" applyAlignment="1">
      <alignment horizontal="left" vertical="top"/>
    </xf>
    <xf numFmtId="0" fontId="0" fillId="13" borderId="0" xfId="0" applyFill="1" applyAlignment="1">
      <alignment horizontal="left" vertical="top"/>
    </xf>
    <xf numFmtId="0" fontId="0" fillId="13" borderId="2" xfId="0" applyFill="1" applyBorder="1" applyAlignment="1">
      <alignment horizontal="left" vertical="top"/>
    </xf>
    <xf numFmtId="0" fontId="0" fillId="8" borderId="0" xfId="0" applyFill="1" applyAlignment="1">
      <alignment horizontal="left" vertical="top"/>
    </xf>
    <xf numFmtId="44" fontId="0" fillId="9" borderId="0" xfId="1" applyFont="1" applyFill="1" applyAlignment="1">
      <alignment horizontal="left" vertical="top"/>
    </xf>
    <xf numFmtId="44" fontId="0" fillId="9" borderId="2" xfId="1" applyFont="1" applyFill="1" applyBorder="1" applyAlignment="1">
      <alignment horizontal="left" vertical="top"/>
    </xf>
    <xf numFmtId="44" fontId="0" fillId="9" borderId="0" xfId="1" applyFont="1" applyFill="1" applyAlignment="1">
      <alignment horizontal="left" vertical="top" wrapText="1"/>
    </xf>
    <xf numFmtId="44" fontId="0" fillId="9" borderId="2" xfId="1" applyFont="1" applyFill="1" applyBorder="1" applyAlignment="1">
      <alignment horizontal="left" vertical="top" wrapText="1"/>
    </xf>
    <xf numFmtId="0" fontId="0" fillId="11" borderId="6" xfId="0" applyFill="1" applyBorder="1" applyAlignment="1">
      <alignment horizontal="center" wrapText="1"/>
    </xf>
    <xf numFmtId="0" fontId="0" fillId="11" borderId="7" xfId="0" applyFill="1" applyBorder="1" applyAlignment="1">
      <alignment horizontal="center" wrapText="1"/>
    </xf>
    <xf numFmtId="0" fontId="0" fillId="13" borderId="6" xfId="0" applyFill="1" applyBorder="1" applyAlignment="1">
      <alignment horizontal="center" wrapText="1"/>
    </xf>
    <xf numFmtId="0" fontId="0" fillId="13" borderId="7" xfId="0" applyFill="1" applyBorder="1" applyAlignment="1">
      <alignment horizontal="center" wrapText="1"/>
    </xf>
    <xf numFmtId="0" fontId="0" fillId="8" borderId="7" xfId="0" applyFill="1" applyBorder="1" applyAlignment="1">
      <alignment horizontal="center" vertical="center" wrapText="1"/>
    </xf>
    <xf numFmtId="0" fontId="0" fillId="9" borderId="6" xfId="0" applyFill="1" applyBorder="1" applyAlignment="1">
      <alignment horizontal="center" wrapText="1"/>
    </xf>
    <xf numFmtId="0" fontId="0" fillId="9" borderId="7" xfId="0" applyFill="1" applyBorder="1" applyAlignment="1">
      <alignment horizontal="center" wrapText="1"/>
    </xf>
    <xf numFmtId="0" fontId="0" fillId="11" borderId="0" xfId="0" applyFill="1" applyAlignment="1">
      <alignment horizontal="left" vertical="top" wrapText="1"/>
    </xf>
    <xf numFmtId="0" fontId="0" fillId="13" borderId="0" xfId="0" applyFill="1" applyAlignment="1">
      <alignment horizontal="left" vertical="top" wrapText="1"/>
    </xf>
    <xf numFmtId="0" fontId="0" fillId="13" borderId="2" xfId="0" applyFill="1" applyBorder="1" applyAlignment="1">
      <alignment horizontal="left" vertical="top" wrapText="1"/>
    </xf>
    <xf numFmtId="0" fontId="0" fillId="8" borderId="0" xfId="0" applyFill="1" applyAlignment="1">
      <alignment horizontal="left" vertical="top" wrapText="1"/>
    </xf>
    <xf numFmtId="0" fontId="0" fillId="0" borderId="0" xfId="0" applyAlignment="1">
      <alignment horizontal="left" vertical="top"/>
    </xf>
    <xf numFmtId="0" fontId="2" fillId="0" borderId="0" xfId="0" applyFont="1" applyAlignment="1">
      <alignment horizontal="center"/>
    </xf>
    <xf numFmtId="0" fontId="22" fillId="0" borderId="0" xfId="0" applyFont="1" applyAlignment="1">
      <alignment horizontal="right" vertical="center"/>
    </xf>
    <xf numFmtId="0" fontId="26" fillId="0" borderId="0" xfId="0" applyFont="1" applyAlignment="1">
      <alignment horizontal="left" vertical="center" wrapText="1"/>
    </xf>
    <xf numFmtId="0" fontId="15" fillId="0" borderId="0" xfId="0" applyFont="1" applyAlignment="1">
      <alignment horizontal="center" vertical="center" wrapText="1"/>
    </xf>
    <xf numFmtId="0" fontId="0" fillId="0" borderId="0" xfId="0" applyAlignment="1">
      <alignment horizontal="right" wrapText="1"/>
    </xf>
    <xf numFmtId="0" fontId="0" fillId="0" borderId="0" xfId="0" applyAlignment="1">
      <alignment horizontal="right"/>
    </xf>
    <xf numFmtId="0" fontId="0" fillId="0" borderId="1" xfId="0" applyBorder="1" applyAlignment="1">
      <alignment horizontal="center"/>
    </xf>
    <xf numFmtId="165" fontId="0" fillId="0" borderId="0" xfId="2" applyNumberFormat="1" applyFont="1" applyAlignment="1">
      <alignment horizontal="left" vertical="top" wrapText="1"/>
    </xf>
    <xf numFmtId="0" fontId="0" fillId="20" borderId="0" xfId="0" applyFill="1" applyAlignment="1">
      <alignment horizontal="center" vertical="center" wrapText="1"/>
    </xf>
    <xf numFmtId="0" fontId="0" fillId="0" borderId="0" xfId="0" applyAlignment="1">
      <alignment horizontal="center" vertical="center" wrapText="1"/>
    </xf>
    <xf numFmtId="0" fontId="0" fillId="2" borderId="0" xfId="0" applyFill="1" applyAlignment="1">
      <alignment horizontal="center" vertical="center" wrapText="1"/>
    </xf>
    <xf numFmtId="0" fontId="0" fillId="15" borderId="0" xfId="0" applyFill="1" applyAlignment="1">
      <alignment horizontal="center" vertical="center" wrapText="1"/>
    </xf>
    <xf numFmtId="0" fontId="0" fillId="16" borderId="0" xfId="0" applyFill="1" applyAlignment="1">
      <alignment horizontal="center" vertical="center" wrapText="1"/>
    </xf>
    <xf numFmtId="0" fontId="18" fillId="0" borderId="0" xfId="0" applyFont="1" applyAlignment="1">
      <alignment horizontal="left" vertical="center" wrapText="1"/>
    </xf>
    <xf numFmtId="3" fontId="7" fillId="3" borderId="0" xfId="0" applyNumberFormat="1" applyFont="1" applyFill="1" applyAlignment="1">
      <alignment horizontal="center" vertical="center" wrapText="1"/>
    </xf>
    <xf numFmtId="0" fontId="0" fillId="0" borderId="0" xfId="0" applyAlignment="1">
      <alignment horizontal="center" wrapText="1"/>
    </xf>
    <xf numFmtId="0" fontId="7" fillId="4" borderId="10" xfId="0" applyFont="1" applyFill="1" applyBorder="1" applyAlignment="1">
      <alignment horizontal="center" vertical="center" wrapText="1"/>
    </xf>
    <xf numFmtId="0" fontId="0" fillId="0" borderId="21" xfId="0" applyBorder="1" applyAlignment="1">
      <alignment horizontal="center" vertical="center"/>
    </xf>
    <xf numFmtId="0" fontId="0" fillId="0" borderId="0" xfId="0" applyAlignment="1">
      <alignment horizontal="right" vertical="center" wrapText="1"/>
    </xf>
    <xf numFmtId="0" fontId="0" fillId="0" borderId="7" xfId="0" applyBorder="1" applyAlignment="1">
      <alignment horizontal="center" vertical="center" wrapText="1"/>
    </xf>
    <xf numFmtId="0" fontId="0" fillId="0" borderId="0" xfId="0" applyAlignment="1">
      <alignment horizontal="left" wrapText="1"/>
    </xf>
    <xf numFmtId="0" fontId="0" fillId="0" borderId="7" xfId="0" applyBorder="1" applyAlignment="1">
      <alignment horizontal="right" wrapText="1"/>
    </xf>
    <xf numFmtId="0" fontId="2" fillId="0" borderId="0" xfId="0" applyFont="1" applyAlignment="1">
      <alignment horizontal="right" wrapText="1"/>
    </xf>
    <xf numFmtId="44" fontId="0" fillId="21" borderId="0" xfId="1" applyFont="1" applyFill="1" applyBorder="1" applyAlignment="1">
      <alignment horizontal="center"/>
    </xf>
    <xf numFmtId="166" fontId="2" fillId="0" borderId="0" xfId="0" applyNumberFormat="1" applyFont="1" applyAlignment="1">
      <alignment horizontal="center" vertical="center" wrapText="1"/>
    </xf>
    <xf numFmtId="0" fontId="2" fillId="0" borderId="0" xfId="0" applyFont="1" applyAlignment="1">
      <alignment horizontal="left" vertical="top" wrapText="1"/>
    </xf>
    <xf numFmtId="3" fontId="2" fillId="3" borderId="10" xfId="0" applyNumberFormat="1" applyFont="1" applyFill="1" applyBorder="1" applyAlignment="1">
      <alignment horizontal="center" vertical="center" wrapText="1"/>
    </xf>
    <xf numFmtId="0" fontId="2" fillId="4" borderId="10" xfId="0" applyFont="1" applyFill="1" applyBorder="1" applyAlignment="1">
      <alignment horizontal="center" vertical="center" wrapText="1"/>
    </xf>
    <xf numFmtId="0" fontId="2" fillId="0" borderId="0" xfId="0" applyFont="1" applyAlignment="1">
      <alignment horizontal="center" vertical="center" wrapText="1"/>
    </xf>
    <xf numFmtId="0" fontId="16" fillId="0" borderId="0" xfId="0" applyFont="1" applyAlignment="1">
      <alignment horizontal="center" vertical="center" wrapText="1"/>
    </xf>
    <xf numFmtId="0" fontId="0" fillId="0" borderId="1" xfId="0" applyBorder="1" applyAlignment="1">
      <alignment horizontal="center" wrapText="1"/>
    </xf>
    <xf numFmtId="0" fontId="23" fillId="0" borderId="0" xfId="0" applyFont="1" applyAlignment="1">
      <alignment horizontal="center" vertical="center" wrapText="1"/>
    </xf>
    <xf numFmtId="0" fontId="18" fillId="0" borderId="0" xfId="0" applyFont="1" applyAlignment="1">
      <alignment horizontal="center" vertical="center"/>
    </xf>
  </cellXfs>
  <cellStyles count="7">
    <cellStyle name="Currency" xfId="1" builtinId="4"/>
    <cellStyle name="Hyperlink" xfId="3" builtinId="8"/>
    <cellStyle name="Normal" xfId="0" builtinId="0"/>
    <cellStyle name="Normal 14" xfId="6" xr:uid="{EAF09464-C1AB-B940-BAAD-C282BE286211}"/>
    <cellStyle name="Normal 15" xfId="4" xr:uid="{01722C6E-3852-9C48-9EA6-8FBA83EA0BD3}"/>
    <cellStyle name="Normal 4" xfId="5" xr:uid="{A640DFE8-A09C-7B4B-BC58-353599BEF6DD}"/>
    <cellStyle name="Percent" xfId="2" builtinId="5"/>
  </cellStyles>
  <dxfs count="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1" defaultTableStyle="TableStyleMedium2" defaultPivotStyle="PivotStyleLight16">
    <tableStyle name="PivotTable Style 1" table="0" count="0" xr9:uid="{50908B39-5934-0443-9058-9DB07AF36BDA}"/>
  </tableStyles>
  <colors>
    <mruColors>
      <color rgb="FF99BFE1"/>
      <color rgb="FFF4B182"/>
      <color rgb="FFE0BCFC"/>
      <color rgb="FFFC0E04"/>
      <color rgb="FFF3D5CE"/>
      <color rgb="FFFDAACC"/>
      <color rgb="FFCCF2D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microsoft.com/office/2017/06/relationships/rdRichValue" Target="richData/rdrichvalue.xml"/><Relationship Id="rId21" Type="http://schemas.openxmlformats.org/officeDocument/2006/relationships/worksheet" Target="worksheets/sheet21.xml"/><Relationship Id="rId34" Type="http://schemas.openxmlformats.org/officeDocument/2006/relationships/theme" Target="theme/theme1.xml"/><Relationship Id="rId42" Type="http://schemas.microsoft.com/office/2017/06/relationships/richStyles" Target="richData/richStyle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sheetMetadata" Target="metadata.xml"/><Relationship Id="rId40" Type="http://schemas.microsoft.com/office/2017/06/relationships/rdRichValueStructure" Target="richData/rdrichvaluestructure.xml"/><Relationship Id="rId45" Type="http://schemas.microsoft.com/office/2017/06/relationships/rdRichValueTypes" Target="richData/rdRichValueTyp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microsoft.com/office/2017/06/relationships/rdSupportingPropertyBag" Target="richData/rdsupportingpropertybag.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tyles" Target="styles.xml"/><Relationship Id="rId43" Type="http://schemas.microsoft.com/office/2017/06/relationships/rdSupportingPropertyBagStructure" Target="richData/rdsupportingpropertybagstructure.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microsoft.com/office/2020/07/relationships/rdRichValueWebImage" Target="richData/rdRichValueWebImage.xml"/><Relationship Id="rId46" Type="http://schemas.openxmlformats.org/officeDocument/2006/relationships/calcChain" Target="calcChain.xml"/><Relationship Id="rId20" Type="http://schemas.openxmlformats.org/officeDocument/2006/relationships/worksheet" Target="worksheets/sheet20.xml"/><Relationship Id="rId41" Type="http://schemas.microsoft.com/office/2017/06/relationships/rdArray" Target="richData/rdarray.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1.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4.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5.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6.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_rels/chart7.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8.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9.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Ex1.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Ex2.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Ex3.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Ex4.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Ex5.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2000" b="0" i="0" u="none" strike="noStrike" kern="1200" spc="0" baseline="0">
                <a:solidFill>
                  <a:schemeClr val="tx1">
                    <a:lumMod val="65000"/>
                    <a:lumOff val="35000"/>
                  </a:schemeClr>
                </a:solidFill>
                <a:latin typeface="+mn-lt"/>
                <a:ea typeface="+mn-ea"/>
                <a:cs typeface="+mn-cs"/>
              </a:defRPr>
            </a:pPr>
            <a:r>
              <a:rPr lang="en-US" sz="2000"/>
              <a:t>Répartition des coûts totaux</a:t>
            </a:r>
          </a:p>
        </c:rich>
      </c:tx>
      <c:overlay val="0"/>
      <c:spPr>
        <a:noFill/>
        <a:ln>
          <a:noFill/>
        </a:ln>
        <a:effectLst/>
      </c:spPr>
      <c:txPr>
        <a:bodyPr rot="0" spcFirstLastPara="1" vertOverflow="ellipsis" vert="horz" wrap="square" anchor="ctr" anchorCtr="1"/>
        <a:lstStyle/>
        <a:p>
          <a:pPr>
            <a:defRPr sz="20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pieChart>
        <c:varyColors val="1"/>
        <c:ser>
          <c:idx val="0"/>
          <c:order val="0"/>
          <c:tx>
            <c:strRef>
              <c:f>'Résultats finaux - PAR PERSONNE'!$D$2:$N$2</c:f>
              <c:strCache>
                <c:ptCount val="11"/>
                <c:pt idx="0">
                  <c:v>Auto</c:v>
                </c:pt>
                <c:pt idx="3">
                  <c:v>TEC</c:v>
                </c:pt>
                <c:pt idx="6">
                  <c:v>Vélo</c:v>
                </c:pt>
                <c:pt idx="9">
                  <c:v>Marche</c:v>
                </c:pt>
              </c:strCache>
            </c:strRef>
          </c:tx>
          <c:dPt>
            <c:idx val="0"/>
            <c:bubble3D val="0"/>
            <c:spPr>
              <a:solidFill>
                <a:srgbClr val="F4B182"/>
              </a:solidFill>
              <a:ln w="19050">
                <a:solidFill>
                  <a:schemeClr val="lt1"/>
                </a:solidFill>
              </a:ln>
              <a:effectLst/>
            </c:spPr>
            <c:extLst>
              <c:ext xmlns:c16="http://schemas.microsoft.com/office/drawing/2014/chart" uri="{C3380CC4-5D6E-409C-BE32-E72D297353CC}">
                <c16:uniqueId val="{00000001-9A72-8B4D-9363-35C950A1BDF9}"/>
              </c:ext>
            </c:extLst>
          </c:dPt>
          <c:dPt>
            <c:idx val="1"/>
            <c:bubble3D val="0"/>
            <c:spPr>
              <a:solidFill>
                <a:srgbClr val="99BFE1"/>
              </a:solidFill>
              <a:ln w="19050">
                <a:solidFill>
                  <a:schemeClr val="lt1"/>
                </a:solidFill>
              </a:ln>
              <a:effectLst/>
            </c:spPr>
            <c:extLst>
              <c:ext xmlns:c16="http://schemas.microsoft.com/office/drawing/2014/chart" uri="{C3380CC4-5D6E-409C-BE32-E72D297353CC}">
                <c16:uniqueId val="{00000002-9A72-8B4D-9363-35C950A1BDF9}"/>
              </c:ext>
            </c:extLst>
          </c:dPt>
          <c:dPt>
            <c:idx val="2"/>
            <c:bubble3D val="0"/>
            <c:spPr>
              <a:solidFill>
                <a:srgbClr val="92D050"/>
              </a:solidFill>
              <a:ln w="19050">
                <a:solidFill>
                  <a:schemeClr val="lt1"/>
                </a:solidFill>
              </a:ln>
              <a:effectLst/>
            </c:spPr>
            <c:extLst>
              <c:ext xmlns:c16="http://schemas.microsoft.com/office/drawing/2014/chart" uri="{C3380CC4-5D6E-409C-BE32-E72D297353CC}">
                <c16:uniqueId val="{00000003-9A72-8B4D-9363-35C950A1BDF9}"/>
              </c:ext>
            </c:extLst>
          </c:dPt>
          <c:dPt>
            <c:idx val="3"/>
            <c:bubble3D val="0"/>
            <c:spPr>
              <a:solidFill>
                <a:schemeClr val="accent4"/>
              </a:solidFill>
              <a:ln w="19050">
                <a:solidFill>
                  <a:schemeClr val="lt1"/>
                </a:solidFill>
              </a:ln>
              <a:effectLst/>
            </c:spPr>
            <c:extLst>
              <c:ext xmlns:c16="http://schemas.microsoft.com/office/drawing/2014/chart" uri="{C3380CC4-5D6E-409C-BE32-E72D297353CC}">
                <c16:uniqueId val="{00000007-5C8F-9D4C-B394-E045409E9971}"/>
              </c:ext>
            </c:extLst>
          </c:dPt>
          <c:dLbls>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1"/>
            <c:showBubbleSize val="0"/>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extLst>
          </c:dLbls>
          <c:cat>
            <c:strRef>
              <c:f>('Résultats finaux - PAR PERSONNE'!$D$2,'Résultats finaux - PAR PERSONNE'!$G$2,'Résultats finaux - PAR PERSONNE'!$J$2,'Résultats finaux - PAR PERSONNE'!$M$2)</c:f>
              <c:strCache>
                <c:ptCount val="4"/>
                <c:pt idx="0">
                  <c:v>Auto</c:v>
                </c:pt>
                <c:pt idx="1">
                  <c:v>TEC</c:v>
                </c:pt>
                <c:pt idx="2">
                  <c:v>Vélo</c:v>
                </c:pt>
                <c:pt idx="3">
                  <c:v>Marche</c:v>
                </c:pt>
              </c:strCache>
            </c:strRef>
          </c:cat>
          <c:val>
            <c:numRef>
              <c:f>('Résultats finaux - PAR PERSONNE'!$C$24,'Résultats finaux - PAR PERSONNE'!$F$24,'Résultats finaux - PAR PERSONNE'!$I$24,'Résultats finaux - PAR PERSONNE'!$L$24)</c:f>
              <c:numCache>
                <c:formatCode>#,##0</c:formatCode>
                <c:ptCount val="4"/>
                <c:pt idx="0">
                  <c:v>15245.626730873943</c:v>
                </c:pt>
                <c:pt idx="1">
                  <c:v>7440.5370372739571</c:v>
                </c:pt>
                <c:pt idx="2">
                  <c:v>2432.268981696569</c:v>
                </c:pt>
                <c:pt idx="3">
                  <c:v>2050.7234237791372</c:v>
                </c:pt>
              </c:numCache>
            </c:numRef>
          </c:val>
          <c:extLst>
            <c:ext xmlns:c16="http://schemas.microsoft.com/office/drawing/2014/chart" uri="{C3380CC4-5D6E-409C-BE32-E72D297353CC}">
              <c16:uniqueId val="{00000000-9A72-8B4D-9363-35C950A1BDF9}"/>
            </c:ext>
          </c:extLst>
        </c:ser>
        <c:dLbls>
          <c:showLegendKey val="0"/>
          <c:showVal val="0"/>
          <c:showCatName val="0"/>
          <c:showSerName val="0"/>
          <c:showPercent val="1"/>
          <c:showBubbleSize val="0"/>
          <c:showLeaderLines val="1"/>
        </c:dLbls>
        <c:firstSliceAng val="0"/>
      </c:pieChart>
      <c:spPr>
        <a:noFill/>
        <a:ln>
          <a:noFill/>
        </a:ln>
        <a:effectLst/>
      </c:spPr>
    </c:plotArea>
    <c:legend>
      <c:legendPos val="t"/>
      <c:overlay val="0"/>
      <c:spPr>
        <a:noFill/>
        <a:ln>
          <a:noFill/>
        </a:ln>
        <a:effectLst/>
      </c:spPr>
      <c:txPr>
        <a:bodyPr rot="0" spcFirstLastPara="1" vertOverflow="ellipsis" vert="horz" wrap="square" anchor="ctr" anchorCtr="1"/>
        <a:lstStyle/>
        <a:p>
          <a:pPr rtl="0">
            <a:defRPr sz="1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Arrondissement de Montréal </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1"/>
          <c:order val="0"/>
          <c:tx>
            <c:v>Auto</c:v>
          </c:tx>
          <c:spPr>
            <a:solidFill>
              <a:schemeClr val="accent2"/>
            </a:solidFill>
            <a:ln>
              <a:noFill/>
            </a:ln>
            <a:effectLst/>
          </c:spPr>
          <c:invertIfNegative val="0"/>
          <c:cat>
            <c:strRef>
              <c:f>'Distributions de coûts - graphs'!$A$21:$A$39</c:f>
              <c:strCache>
                <c:ptCount val="19"/>
                <c:pt idx="0">
                  <c:v>Ahuntsic-Cartierville</c:v>
                </c:pt>
                <c:pt idx="1">
                  <c:v>Anjou, Quebec</c:v>
                </c:pt>
                <c:pt idx="2">
                  <c:v>Côte-des-Neiges–Notre-Dame-de-Grâce</c:v>
                </c:pt>
                <c:pt idx="3">
                  <c:v>L'Île-Bizard–Sainte-Geneviève</c:v>
                </c:pt>
                <c:pt idx="4">
                  <c:v>Lachine, Quebec</c:v>
                </c:pt>
                <c:pt idx="5">
                  <c:v>LaSalle, Quebec</c:v>
                </c:pt>
                <c:pt idx="6">
                  <c:v>Mercier–Hochelaga-Maisonneuve</c:v>
                </c:pt>
                <c:pt idx="7">
                  <c:v>Montréal-Nord</c:v>
                </c:pt>
                <c:pt idx="8">
                  <c:v>Outremont, Quebec</c:v>
                </c:pt>
                <c:pt idx="9">
                  <c:v>Pierrefonds-Roxboro</c:v>
                </c:pt>
                <c:pt idx="10">
                  <c:v>Le Plateau-Mont-Royal</c:v>
                </c:pt>
                <c:pt idx="11">
                  <c:v>Rivière-des-Prairies–Pointe-aux-Trembles</c:v>
                </c:pt>
                <c:pt idx="12">
                  <c:v>Rosemont–La Petite-Patrie</c:v>
                </c:pt>
                <c:pt idx="13">
                  <c:v>Saint-Laurent, Quebec</c:v>
                </c:pt>
                <c:pt idx="14">
                  <c:v>Saint-Leonard, Quebec</c:v>
                </c:pt>
                <c:pt idx="15">
                  <c:v>Le Sud-Ouest</c:v>
                </c:pt>
                <c:pt idx="16">
                  <c:v>Verdun, Quebec</c:v>
                </c:pt>
                <c:pt idx="17">
                  <c:v>Ville-Marie, Montreal</c:v>
                </c:pt>
                <c:pt idx="18">
                  <c:v>Villeray–Saint-Michel–Parc-Extension</c:v>
                </c:pt>
              </c:strCache>
            </c:strRef>
          </c:cat>
          <c:val>
            <c:numRef>
              <c:f>'Distributions de coûts - graphs'!$F$21:$F$39</c:f>
              <c:numCache>
                <c:formatCode>_("$"* #,##0.00_);_("$"* \(#,##0.00\);_("$"* "-"??_);_(@_)</c:formatCode>
                <c:ptCount val="19"/>
                <c:pt idx="0">
                  <c:v>1.6533758342432581</c:v>
                </c:pt>
                <c:pt idx="1">
                  <c:v>1.6025907034921019</c:v>
                </c:pt>
                <c:pt idx="2">
                  <c:v>1.7710933276543501</c:v>
                </c:pt>
                <c:pt idx="3">
                  <c:v>0.90839451780559355</c:v>
                </c:pt>
                <c:pt idx="4">
                  <c:v>1.4227768268345675</c:v>
                </c:pt>
                <c:pt idx="5">
                  <c:v>1.5671944917094172</c:v>
                </c:pt>
                <c:pt idx="6">
                  <c:v>1.637985342658294</c:v>
                </c:pt>
                <c:pt idx="7">
                  <c:v>1.534160253678083</c:v>
                </c:pt>
                <c:pt idx="8">
                  <c:v>2.2678628092894031</c:v>
                </c:pt>
                <c:pt idx="9">
                  <c:v>1.1414158469710696</c:v>
                </c:pt>
                <c:pt idx="10">
                  <c:v>2.1722058080111957</c:v>
                </c:pt>
                <c:pt idx="11">
                  <c:v>1.2356976406362803</c:v>
                </c:pt>
                <c:pt idx="12">
                  <c:v>1.879567221289101</c:v>
                </c:pt>
                <c:pt idx="13">
                  <c:v>1.5491630751482051</c:v>
                </c:pt>
                <c:pt idx="14">
                  <c:v>1.6956677087011041</c:v>
                </c:pt>
                <c:pt idx="15">
                  <c:v>1.5902715072422116</c:v>
                </c:pt>
                <c:pt idx="16">
                  <c:v>1.4721040569441279</c:v>
                </c:pt>
                <c:pt idx="17">
                  <c:v>2.3870914633523221</c:v>
                </c:pt>
                <c:pt idx="18">
                  <c:v>1.6562544894458269</c:v>
                </c:pt>
              </c:numCache>
            </c:numRef>
          </c:val>
          <c:extLst>
            <c:ext xmlns:c16="http://schemas.microsoft.com/office/drawing/2014/chart" uri="{C3380CC4-5D6E-409C-BE32-E72D297353CC}">
              <c16:uniqueId val="{00000002-0960-5B40-883E-15DC26E42CB6}"/>
            </c:ext>
          </c:extLst>
        </c:ser>
        <c:ser>
          <c:idx val="0"/>
          <c:order val="1"/>
          <c:tx>
            <c:v>Transport Collectif</c:v>
          </c:tx>
          <c:spPr>
            <a:solidFill>
              <a:schemeClr val="accent1"/>
            </a:solidFill>
            <a:ln>
              <a:noFill/>
            </a:ln>
            <a:effectLst/>
          </c:spPr>
          <c:invertIfNegative val="0"/>
          <c:cat>
            <c:strRef>
              <c:f>'Distributions de coûts - graphs'!$A$21:$A$39</c:f>
              <c:strCache>
                <c:ptCount val="19"/>
                <c:pt idx="0">
                  <c:v>Ahuntsic-Cartierville</c:v>
                </c:pt>
                <c:pt idx="1">
                  <c:v>Anjou, Quebec</c:v>
                </c:pt>
                <c:pt idx="2">
                  <c:v>Côte-des-Neiges–Notre-Dame-de-Grâce</c:v>
                </c:pt>
                <c:pt idx="3">
                  <c:v>L'Île-Bizard–Sainte-Geneviève</c:v>
                </c:pt>
                <c:pt idx="4">
                  <c:v>Lachine, Quebec</c:v>
                </c:pt>
                <c:pt idx="5">
                  <c:v>LaSalle, Quebec</c:v>
                </c:pt>
                <c:pt idx="6">
                  <c:v>Mercier–Hochelaga-Maisonneuve</c:v>
                </c:pt>
                <c:pt idx="7">
                  <c:v>Montréal-Nord</c:v>
                </c:pt>
                <c:pt idx="8">
                  <c:v>Outremont, Quebec</c:v>
                </c:pt>
                <c:pt idx="9">
                  <c:v>Pierrefonds-Roxboro</c:v>
                </c:pt>
                <c:pt idx="10">
                  <c:v>Le Plateau-Mont-Royal</c:v>
                </c:pt>
                <c:pt idx="11">
                  <c:v>Rivière-des-Prairies–Pointe-aux-Trembles</c:v>
                </c:pt>
                <c:pt idx="12">
                  <c:v>Rosemont–La Petite-Patrie</c:v>
                </c:pt>
                <c:pt idx="13">
                  <c:v>Saint-Laurent, Quebec</c:v>
                </c:pt>
                <c:pt idx="14">
                  <c:v>Saint-Leonard, Quebec</c:v>
                </c:pt>
                <c:pt idx="15">
                  <c:v>Le Sud-Ouest</c:v>
                </c:pt>
                <c:pt idx="16">
                  <c:v>Verdun, Quebec</c:v>
                </c:pt>
                <c:pt idx="17">
                  <c:v>Ville-Marie, Montreal</c:v>
                </c:pt>
                <c:pt idx="18">
                  <c:v>Villeray–Saint-Michel–Parc-Extension</c:v>
                </c:pt>
              </c:strCache>
            </c:strRef>
          </c:cat>
          <c:val>
            <c:numRef>
              <c:f>'Distributions de coûts - graphs'!$G$21:$G$39</c:f>
              <c:numCache>
                <c:formatCode>_("$"* #,##0.00_);_("$"* \(#,##0.00\);_("$"* "-"??_);_(@_)</c:formatCode>
                <c:ptCount val="19"/>
                <c:pt idx="0">
                  <c:v>0.4485220638756231</c:v>
                </c:pt>
                <c:pt idx="1">
                  <c:v>0.41461175488394347</c:v>
                </c:pt>
                <c:pt idx="2">
                  <c:v>0.51624169213887439</c:v>
                </c:pt>
                <c:pt idx="3">
                  <c:v>0.29679001520812787</c:v>
                </c:pt>
                <c:pt idx="4">
                  <c:v>0.39953618673956837</c:v>
                </c:pt>
                <c:pt idx="5">
                  <c:v>0.40473730137395908</c:v>
                </c:pt>
                <c:pt idx="6">
                  <c:v>0.46055997263132259</c:v>
                </c:pt>
                <c:pt idx="7">
                  <c:v>0.38338885935211681</c:v>
                </c:pt>
                <c:pt idx="8">
                  <c:v>0.69463745884019412</c:v>
                </c:pt>
                <c:pt idx="9">
                  <c:v>0.28701159343936233</c:v>
                </c:pt>
                <c:pt idx="10">
                  <c:v>0.62709748182455061</c:v>
                </c:pt>
                <c:pt idx="11">
                  <c:v>0.34164028791025114</c:v>
                </c:pt>
                <c:pt idx="12">
                  <c:v>0.53714609881708841</c:v>
                </c:pt>
                <c:pt idx="13">
                  <c:v>0.42784376437066063</c:v>
                </c:pt>
                <c:pt idx="14">
                  <c:v>0.42901828259562358</c:v>
                </c:pt>
                <c:pt idx="15">
                  <c:v>0.54939721514581275</c:v>
                </c:pt>
                <c:pt idx="16">
                  <c:v>0.46975335944144875</c:v>
                </c:pt>
                <c:pt idx="17">
                  <c:v>0.76213665446702406</c:v>
                </c:pt>
                <c:pt idx="18">
                  <c:v>0.48795329912319058</c:v>
                </c:pt>
              </c:numCache>
            </c:numRef>
          </c:val>
          <c:extLst>
            <c:ext xmlns:c16="http://schemas.microsoft.com/office/drawing/2014/chart" uri="{C3380CC4-5D6E-409C-BE32-E72D297353CC}">
              <c16:uniqueId val="{00000001-0960-5B40-883E-15DC26E42CB6}"/>
            </c:ext>
          </c:extLst>
        </c:ser>
        <c:ser>
          <c:idx val="2"/>
          <c:order val="2"/>
          <c:tx>
            <c:v>Vélo</c:v>
          </c:tx>
          <c:spPr>
            <a:solidFill>
              <a:srgbClr val="92D050"/>
            </a:solidFill>
            <a:ln>
              <a:noFill/>
            </a:ln>
            <a:effectLst/>
          </c:spPr>
          <c:invertIfNegative val="0"/>
          <c:cat>
            <c:strRef>
              <c:f>'Distributions de coûts - graphs'!$A$21:$A$39</c:f>
              <c:strCache>
                <c:ptCount val="19"/>
                <c:pt idx="0">
                  <c:v>Ahuntsic-Cartierville</c:v>
                </c:pt>
                <c:pt idx="1">
                  <c:v>Anjou, Quebec</c:v>
                </c:pt>
                <c:pt idx="2">
                  <c:v>Côte-des-Neiges–Notre-Dame-de-Grâce</c:v>
                </c:pt>
                <c:pt idx="3">
                  <c:v>L'Île-Bizard–Sainte-Geneviève</c:v>
                </c:pt>
                <c:pt idx="4">
                  <c:v>Lachine, Quebec</c:v>
                </c:pt>
                <c:pt idx="5">
                  <c:v>LaSalle, Quebec</c:v>
                </c:pt>
                <c:pt idx="6">
                  <c:v>Mercier–Hochelaga-Maisonneuve</c:v>
                </c:pt>
                <c:pt idx="7">
                  <c:v>Montréal-Nord</c:v>
                </c:pt>
                <c:pt idx="8">
                  <c:v>Outremont, Quebec</c:v>
                </c:pt>
                <c:pt idx="9">
                  <c:v>Pierrefonds-Roxboro</c:v>
                </c:pt>
                <c:pt idx="10">
                  <c:v>Le Plateau-Mont-Royal</c:v>
                </c:pt>
                <c:pt idx="11">
                  <c:v>Rivière-des-Prairies–Pointe-aux-Trembles</c:v>
                </c:pt>
                <c:pt idx="12">
                  <c:v>Rosemont–La Petite-Patrie</c:v>
                </c:pt>
                <c:pt idx="13">
                  <c:v>Saint-Laurent, Quebec</c:v>
                </c:pt>
                <c:pt idx="14">
                  <c:v>Saint-Leonard, Quebec</c:v>
                </c:pt>
                <c:pt idx="15">
                  <c:v>Le Sud-Ouest</c:v>
                </c:pt>
                <c:pt idx="16">
                  <c:v>Verdun, Quebec</c:v>
                </c:pt>
                <c:pt idx="17">
                  <c:v>Ville-Marie, Montreal</c:v>
                </c:pt>
                <c:pt idx="18">
                  <c:v>Villeray–Saint-Michel–Parc-Extension</c:v>
                </c:pt>
              </c:strCache>
            </c:strRef>
          </c:cat>
          <c:val>
            <c:numRef>
              <c:f>'Distributions de coûts - graphs'!$H$21:$H$39</c:f>
              <c:numCache>
                <c:formatCode>_("$"* #,##0.00_);_("$"* \(#,##0.00\);_("$"* "-"??_);_(@_)</c:formatCode>
                <c:ptCount val="19"/>
                <c:pt idx="0">
                  <c:v>-0.25533582883117478</c:v>
                </c:pt>
                <c:pt idx="1">
                  <c:v>-0.47596808677424268</c:v>
                </c:pt>
                <c:pt idx="2">
                  <c:v>-0.29636548469106616</c:v>
                </c:pt>
                <c:pt idx="3">
                  <c:v>-0.37535089477049544</c:v>
                </c:pt>
                <c:pt idx="4">
                  <c:v>-0.25048859420843478</c:v>
                </c:pt>
                <c:pt idx="5">
                  <c:v>-0.28976366587433433</c:v>
                </c:pt>
                <c:pt idx="6">
                  <c:v>-0.25593718539466354</c:v>
                </c:pt>
                <c:pt idx="7">
                  <c:v>-0.40425100877137887</c:v>
                </c:pt>
                <c:pt idx="8">
                  <c:v>-2.7951010965370594E-2</c:v>
                </c:pt>
                <c:pt idx="9">
                  <c:v>0.69459028935352463</c:v>
                </c:pt>
                <c:pt idx="10">
                  <c:v>4.1929823435987792E-2</c:v>
                </c:pt>
                <c:pt idx="11">
                  <c:v>1.9834705661125086E-2</c:v>
                </c:pt>
                <c:pt idx="12">
                  <c:v>-0.14729683210091857</c:v>
                </c:pt>
                <c:pt idx="13">
                  <c:v>-0.16429720825739133</c:v>
                </c:pt>
                <c:pt idx="14">
                  <c:v>0.23316505858433673</c:v>
                </c:pt>
                <c:pt idx="15">
                  <c:v>-6.5441698007680335E-2</c:v>
                </c:pt>
                <c:pt idx="16">
                  <c:v>-0.164072694082573</c:v>
                </c:pt>
                <c:pt idx="17">
                  <c:v>0.20152026397325501</c:v>
                </c:pt>
                <c:pt idx="18">
                  <c:v>-0.29002294009563295</c:v>
                </c:pt>
              </c:numCache>
            </c:numRef>
          </c:val>
          <c:extLst>
            <c:ext xmlns:c16="http://schemas.microsoft.com/office/drawing/2014/chart" uri="{C3380CC4-5D6E-409C-BE32-E72D297353CC}">
              <c16:uniqueId val="{00000003-0960-5B40-883E-15DC26E42CB6}"/>
            </c:ext>
          </c:extLst>
        </c:ser>
        <c:ser>
          <c:idx val="3"/>
          <c:order val="3"/>
          <c:tx>
            <c:v>Marche</c:v>
          </c:tx>
          <c:spPr>
            <a:solidFill>
              <a:schemeClr val="accent4"/>
            </a:solidFill>
            <a:ln>
              <a:noFill/>
            </a:ln>
            <a:effectLst/>
          </c:spPr>
          <c:invertIfNegative val="0"/>
          <c:cat>
            <c:strRef>
              <c:f>'Distributions de coûts - graphs'!$A$21:$A$39</c:f>
              <c:strCache>
                <c:ptCount val="19"/>
                <c:pt idx="0">
                  <c:v>Ahuntsic-Cartierville</c:v>
                </c:pt>
                <c:pt idx="1">
                  <c:v>Anjou, Quebec</c:v>
                </c:pt>
                <c:pt idx="2">
                  <c:v>Côte-des-Neiges–Notre-Dame-de-Grâce</c:v>
                </c:pt>
                <c:pt idx="3">
                  <c:v>L'Île-Bizard–Sainte-Geneviève</c:v>
                </c:pt>
                <c:pt idx="4">
                  <c:v>Lachine, Quebec</c:v>
                </c:pt>
                <c:pt idx="5">
                  <c:v>LaSalle, Quebec</c:v>
                </c:pt>
                <c:pt idx="6">
                  <c:v>Mercier–Hochelaga-Maisonneuve</c:v>
                </c:pt>
                <c:pt idx="7">
                  <c:v>Montréal-Nord</c:v>
                </c:pt>
                <c:pt idx="8">
                  <c:v>Outremont, Quebec</c:v>
                </c:pt>
                <c:pt idx="9">
                  <c:v>Pierrefonds-Roxboro</c:v>
                </c:pt>
                <c:pt idx="10">
                  <c:v>Le Plateau-Mont-Royal</c:v>
                </c:pt>
                <c:pt idx="11">
                  <c:v>Rivière-des-Prairies–Pointe-aux-Trembles</c:v>
                </c:pt>
                <c:pt idx="12">
                  <c:v>Rosemont–La Petite-Patrie</c:v>
                </c:pt>
                <c:pt idx="13">
                  <c:v>Saint-Laurent, Quebec</c:v>
                </c:pt>
                <c:pt idx="14">
                  <c:v>Saint-Leonard, Quebec</c:v>
                </c:pt>
                <c:pt idx="15">
                  <c:v>Le Sud-Ouest</c:v>
                </c:pt>
                <c:pt idx="16">
                  <c:v>Verdun, Quebec</c:v>
                </c:pt>
                <c:pt idx="17">
                  <c:v>Ville-Marie, Montreal</c:v>
                </c:pt>
                <c:pt idx="18">
                  <c:v>Villeray–Saint-Michel–Parc-Extension</c:v>
                </c:pt>
              </c:strCache>
            </c:strRef>
          </c:cat>
          <c:val>
            <c:numRef>
              <c:f>'Distributions de coûts - graphs'!$I$21:$I$39</c:f>
              <c:numCache>
                <c:formatCode>_("$"* #,##0.00_);_("$"* \(#,##0.00\);_("$"* "-"??_);_(@_)</c:formatCode>
                <c:ptCount val="19"/>
                <c:pt idx="0">
                  <c:v>-1.8920619423628281E-2</c:v>
                </c:pt>
                <c:pt idx="1">
                  <c:v>-0.12027927298042243</c:v>
                </c:pt>
                <c:pt idx="2">
                  <c:v>-0.11132902458021414</c:v>
                </c:pt>
                <c:pt idx="3">
                  <c:v>-0.23116892210984183</c:v>
                </c:pt>
                <c:pt idx="4">
                  <c:v>-3.2599933191509771E-2</c:v>
                </c:pt>
                <c:pt idx="5">
                  <c:v>-3.7804450230006129E-2</c:v>
                </c:pt>
                <c:pt idx="6">
                  <c:v>-0.10799937974869095</c:v>
                </c:pt>
                <c:pt idx="7">
                  <c:v>-7.2221926546341728E-2</c:v>
                </c:pt>
                <c:pt idx="8">
                  <c:v>0.12204462513738934</c:v>
                </c:pt>
                <c:pt idx="9">
                  <c:v>-0.24760726481204207</c:v>
                </c:pt>
                <c:pt idx="10">
                  <c:v>4.7738358220377163E-2</c:v>
                </c:pt>
                <c:pt idx="11">
                  <c:v>-0.15182059147446081</c:v>
                </c:pt>
                <c:pt idx="12">
                  <c:v>3.9299475106956881E-2</c:v>
                </c:pt>
                <c:pt idx="13">
                  <c:v>-0.15851334857218161</c:v>
                </c:pt>
                <c:pt idx="14">
                  <c:v>-4.8529193432553387E-2</c:v>
                </c:pt>
                <c:pt idx="15">
                  <c:v>-0.10311581474769049</c:v>
                </c:pt>
                <c:pt idx="16">
                  <c:v>-5.1061591831032892E-2</c:v>
                </c:pt>
                <c:pt idx="17">
                  <c:v>0.14625403757909405</c:v>
                </c:pt>
                <c:pt idx="18">
                  <c:v>-3.4465879928927079E-2</c:v>
                </c:pt>
              </c:numCache>
            </c:numRef>
          </c:val>
          <c:extLst>
            <c:ext xmlns:c16="http://schemas.microsoft.com/office/drawing/2014/chart" uri="{C3380CC4-5D6E-409C-BE32-E72D297353CC}">
              <c16:uniqueId val="{00000000-0960-5B40-883E-15DC26E42CB6}"/>
            </c:ext>
          </c:extLst>
        </c:ser>
        <c:dLbls>
          <c:showLegendKey val="0"/>
          <c:showVal val="0"/>
          <c:showCatName val="0"/>
          <c:showSerName val="0"/>
          <c:showPercent val="0"/>
          <c:showBubbleSize val="0"/>
        </c:dLbls>
        <c:gapWidth val="150"/>
        <c:axId val="345569728"/>
        <c:axId val="345192160"/>
      </c:barChart>
      <c:catAx>
        <c:axId val="345569728"/>
        <c:scaling>
          <c:orientation val="minMax"/>
        </c:scaling>
        <c:delete val="0"/>
        <c:axPos val="b"/>
        <c:numFmt formatCode="General" sourceLinked="1"/>
        <c:majorTickMark val="none"/>
        <c:minorTickMark val="none"/>
        <c:tickLblPos val="high"/>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crossAx val="345192160"/>
        <c:crosses val="autoZero"/>
        <c:auto val="1"/>
        <c:lblAlgn val="ctr"/>
        <c:lblOffset val="400"/>
        <c:noMultiLvlLbl val="0"/>
      </c:catAx>
      <c:valAx>
        <c:axId val="345192160"/>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a:t>
                </a:r>
                <a:r>
                  <a:rPr lang="en-US" baseline="0"/>
                  <a:t> social / $ privé</a:t>
                </a:r>
                <a:endParaRPr lang="en-US"/>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_(&quot;$&quot;* #,##0.00_);_(&quot;$&quot;* \(#,##0.0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45569728"/>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Ville de l'agglomération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1"/>
          <c:order val="0"/>
          <c:tx>
            <c:v>Auto</c:v>
          </c:tx>
          <c:spPr>
            <a:solidFill>
              <a:schemeClr val="accent2"/>
            </a:solidFill>
            <a:ln>
              <a:noFill/>
            </a:ln>
            <a:effectLst/>
          </c:spPr>
          <c:invertIfNegative val="0"/>
          <c:cat>
            <c:strRef>
              <c:f>'Distributions de coûts - graphs'!$A$4:$A$19</c:f>
              <c:strCache>
                <c:ptCount val="16"/>
                <c:pt idx="0">
                  <c:v>Agglomération de Montréal</c:v>
                </c:pt>
                <c:pt idx="1">
                  <c:v>Baie-D'Urfé</c:v>
                </c:pt>
                <c:pt idx="2">
                  <c:v>Beaconsfield, Quebec</c:v>
                </c:pt>
                <c:pt idx="3">
                  <c:v>Côte Saint-Luc</c:v>
                </c:pt>
                <c:pt idx="4">
                  <c:v>Dollard-des-Ormeaux</c:v>
                </c:pt>
                <c:pt idx="5">
                  <c:v>Dorval</c:v>
                </c:pt>
                <c:pt idx="6">
                  <c:v>Hampstead, Quebec</c:v>
                </c:pt>
                <c:pt idx="7">
                  <c:v>Kirkland, Quebec</c:v>
                </c:pt>
                <c:pt idx="8">
                  <c:v>Montreal</c:v>
                </c:pt>
                <c:pt idx="9">
                  <c:v>Montréal-Est, Quebec</c:v>
                </c:pt>
                <c:pt idx="10">
                  <c:v>Montreal West, Quebec</c:v>
                </c:pt>
                <c:pt idx="11">
                  <c:v>Mount Royal, Quebec</c:v>
                </c:pt>
                <c:pt idx="12">
                  <c:v>Pointe-Claire</c:v>
                </c:pt>
                <c:pt idx="13">
                  <c:v>Sainte-Anne-de-Bellevue</c:v>
                </c:pt>
                <c:pt idx="14">
                  <c:v>Senneville, Quebec</c:v>
                </c:pt>
                <c:pt idx="15">
                  <c:v>Westmount</c:v>
                </c:pt>
              </c:strCache>
            </c:strRef>
          </c:cat>
          <c:val>
            <c:numRef>
              <c:f>'Distributions de coûts - graphs'!$F$4:$F$19</c:f>
              <c:numCache>
                <c:formatCode>_("$"* #,##0.00_);_("$"* \(#,##0.00\);_("$"* "-"??_);_(@_)</c:formatCode>
                <c:ptCount val="16"/>
                <c:pt idx="0">
                  <c:v>1.5510585368506695</c:v>
                </c:pt>
                <c:pt idx="1">
                  <c:v>1.2985499565273153</c:v>
                </c:pt>
                <c:pt idx="2">
                  <c:v>0.91630360761167862</c:v>
                </c:pt>
                <c:pt idx="3">
                  <c:v>1.3044960737384255</c:v>
                </c:pt>
                <c:pt idx="4">
                  <c:v>1.0966408455286978</c:v>
                </c:pt>
                <c:pt idx="5">
                  <c:v>1.3330700178217905</c:v>
                </c:pt>
                <c:pt idx="6">
                  <c:v>2.9340993683457506</c:v>
                </c:pt>
                <c:pt idx="7">
                  <c:v>1.0156164097807578</c:v>
                </c:pt>
                <c:pt idx="8">
                  <c:v>1.5948227361785885</c:v>
                </c:pt>
                <c:pt idx="9">
                  <c:v>1.8451152597294365</c:v>
                </c:pt>
                <c:pt idx="10">
                  <c:v>1.8083368368489958</c:v>
                </c:pt>
                <c:pt idx="11">
                  <c:v>2.4247961543448926</c:v>
                </c:pt>
                <c:pt idx="12">
                  <c:v>1.3109135588460943</c:v>
                </c:pt>
                <c:pt idx="13">
                  <c:v>0.88206910287981743</c:v>
                </c:pt>
                <c:pt idx="14">
                  <c:v>0.74455490385964018</c:v>
                </c:pt>
                <c:pt idx="15">
                  <c:v>2.9335093185340262</c:v>
                </c:pt>
              </c:numCache>
            </c:numRef>
          </c:val>
          <c:extLst>
            <c:ext xmlns:c16="http://schemas.microsoft.com/office/drawing/2014/chart" uri="{C3380CC4-5D6E-409C-BE32-E72D297353CC}">
              <c16:uniqueId val="{00000000-3EAD-7645-8E3B-153B269823B2}"/>
            </c:ext>
          </c:extLst>
        </c:ser>
        <c:ser>
          <c:idx val="0"/>
          <c:order val="1"/>
          <c:tx>
            <c:v>TC</c:v>
          </c:tx>
          <c:spPr>
            <a:solidFill>
              <a:schemeClr val="accent1"/>
            </a:solidFill>
            <a:ln>
              <a:noFill/>
            </a:ln>
            <a:effectLst/>
          </c:spPr>
          <c:invertIfNegative val="0"/>
          <c:cat>
            <c:strRef>
              <c:f>'Distributions de coûts - graphs'!$A$4:$A$19</c:f>
              <c:strCache>
                <c:ptCount val="16"/>
                <c:pt idx="0">
                  <c:v>Agglomération de Montréal</c:v>
                </c:pt>
                <c:pt idx="1">
                  <c:v>Baie-D'Urfé</c:v>
                </c:pt>
                <c:pt idx="2">
                  <c:v>Beaconsfield, Quebec</c:v>
                </c:pt>
                <c:pt idx="3">
                  <c:v>Côte Saint-Luc</c:v>
                </c:pt>
                <c:pt idx="4">
                  <c:v>Dollard-des-Ormeaux</c:v>
                </c:pt>
                <c:pt idx="5">
                  <c:v>Dorval</c:v>
                </c:pt>
                <c:pt idx="6">
                  <c:v>Hampstead, Quebec</c:v>
                </c:pt>
                <c:pt idx="7">
                  <c:v>Kirkland, Quebec</c:v>
                </c:pt>
                <c:pt idx="8">
                  <c:v>Montreal</c:v>
                </c:pt>
                <c:pt idx="9">
                  <c:v>Montréal-Est, Quebec</c:v>
                </c:pt>
                <c:pt idx="10">
                  <c:v>Montreal West, Quebec</c:v>
                </c:pt>
                <c:pt idx="11">
                  <c:v>Mount Royal, Quebec</c:v>
                </c:pt>
                <c:pt idx="12">
                  <c:v>Pointe-Claire</c:v>
                </c:pt>
                <c:pt idx="13">
                  <c:v>Sainte-Anne-de-Bellevue</c:v>
                </c:pt>
                <c:pt idx="14">
                  <c:v>Senneville, Quebec</c:v>
                </c:pt>
                <c:pt idx="15">
                  <c:v>Westmount</c:v>
                </c:pt>
              </c:strCache>
            </c:strRef>
          </c:cat>
          <c:val>
            <c:numRef>
              <c:f>'Distributions de coûts - graphs'!$G$4:$G$19</c:f>
              <c:numCache>
                <c:formatCode>_("$"* #,##0.00_);_("$"* \(#,##0.00\);_("$"* "-"??_);_(@_)</c:formatCode>
                <c:ptCount val="16"/>
                <c:pt idx="0">
                  <c:v>0.49059618500494628</c:v>
                </c:pt>
                <c:pt idx="1">
                  <c:v>0.78765289339420841</c:v>
                </c:pt>
                <c:pt idx="2">
                  <c:v>0.39489813660018219</c:v>
                </c:pt>
                <c:pt idx="3">
                  <c:v>0.38553124870312805</c:v>
                </c:pt>
                <c:pt idx="4">
                  <c:v>0.3366446980072349</c:v>
                </c:pt>
                <c:pt idx="5">
                  <c:v>0.77580486338794263</c:v>
                </c:pt>
                <c:pt idx="6">
                  <c:v>0.72904567322792213</c:v>
                </c:pt>
                <c:pt idx="7">
                  <c:v>0.46876307534088846</c:v>
                </c:pt>
                <c:pt idx="8">
                  <c:v>0.48329733319876977</c:v>
                </c:pt>
                <c:pt idx="9">
                  <c:v>0.26819589434267355</c:v>
                </c:pt>
                <c:pt idx="10">
                  <c:v>0.55922010086973906</c:v>
                </c:pt>
                <c:pt idx="11">
                  <c:v>0.82361569455380368</c:v>
                </c:pt>
                <c:pt idx="12">
                  <c:v>0.64046618930207666</c:v>
                </c:pt>
                <c:pt idx="13">
                  <c:v>0.46674314898101227</c:v>
                </c:pt>
                <c:pt idx="14">
                  <c:v>0.46351903840639169</c:v>
                </c:pt>
                <c:pt idx="15">
                  <c:v>1.2978928325853176</c:v>
                </c:pt>
              </c:numCache>
            </c:numRef>
          </c:val>
          <c:extLst>
            <c:ext xmlns:c16="http://schemas.microsoft.com/office/drawing/2014/chart" uri="{C3380CC4-5D6E-409C-BE32-E72D297353CC}">
              <c16:uniqueId val="{00000001-3EAD-7645-8E3B-153B269823B2}"/>
            </c:ext>
          </c:extLst>
        </c:ser>
        <c:ser>
          <c:idx val="2"/>
          <c:order val="2"/>
          <c:tx>
            <c:v>Vélo</c:v>
          </c:tx>
          <c:spPr>
            <a:solidFill>
              <a:srgbClr val="92D050"/>
            </a:solidFill>
            <a:ln>
              <a:noFill/>
            </a:ln>
            <a:effectLst/>
          </c:spPr>
          <c:invertIfNegative val="0"/>
          <c:cat>
            <c:strRef>
              <c:f>'Distributions de coûts - graphs'!$A$4:$A$19</c:f>
              <c:strCache>
                <c:ptCount val="16"/>
                <c:pt idx="0">
                  <c:v>Agglomération de Montréal</c:v>
                </c:pt>
                <c:pt idx="1">
                  <c:v>Baie-D'Urfé</c:v>
                </c:pt>
                <c:pt idx="2">
                  <c:v>Beaconsfield, Quebec</c:v>
                </c:pt>
                <c:pt idx="3">
                  <c:v>Côte Saint-Luc</c:v>
                </c:pt>
                <c:pt idx="4">
                  <c:v>Dollard-des-Ormeaux</c:v>
                </c:pt>
                <c:pt idx="5">
                  <c:v>Dorval</c:v>
                </c:pt>
                <c:pt idx="6">
                  <c:v>Hampstead, Quebec</c:v>
                </c:pt>
                <c:pt idx="7">
                  <c:v>Kirkland, Quebec</c:v>
                </c:pt>
                <c:pt idx="8">
                  <c:v>Montreal</c:v>
                </c:pt>
                <c:pt idx="9">
                  <c:v>Montréal-Est, Quebec</c:v>
                </c:pt>
                <c:pt idx="10">
                  <c:v>Montreal West, Quebec</c:v>
                </c:pt>
                <c:pt idx="11">
                  <c:v>Mount Royal, Quebec</c:v>
                </c:pt>
                <c:pt idx="12">
                  <c:v>Pointe-Claire</c:v>
                </c:pt>
                <c:pt idx="13">
                  <c:v>Sainte-Anne-de-Bellevue</c:v>
                </c:pt>
                <c:pt idx="14">
                  <c:v>Senneville, Quebec</c:v>
                </c:pt>
                <c:pt idx="15">
                  <c:v>Westmount</c:v>
                </c:pt>
              </c:strCache>
            </c:strRef>
          </c:cat>
          <c:val>
            <c:numRef>
              <c:f>'Distributions de coûts - graphs'!$H$4:$H$19</c:f>
              <c:numCache>
                <c:formatCode>_("$"* #,##0.00_);_("$"* \(#,##0.00\);_("$"* "-"??_);_(@_)</c:formatCode>
                <c:ptCount val="16"/>
                <c:pt idx="0">
                  <c:v>-0.12189410733979036</c:v>
                </c:pt>
                <c:pt idx="1">
                  <c:v>0.83845900225189218</c:v>
                </c:pt>
                <c:pt idx="2">
                  <c:v>0.54224139384166004</c:v>
                </c:pt>
                <c:pt idx="3">
                  <c:v>-0.13426686256250298</c:v>
                </c:pt>
                <c:pt idx="4">
                  <c:v>1.2162865217309977E-2</c:v>
                </c:pt>
                <c:pt idx="5">
                  <c:v>-0.22288282198546239</c:v>
                </c:pt>
                <c:pt idx="6">
                  <c:v>-0.29341184087836658</c:v>
                </c:pt>
                <c:pt idx="7">
                  <c:v>2.7771412624069396</c:v>
                </c:pt>
                <c:pt idx="8">
                  <c:v>-0.12794349307150318</c:v>
                </c:pt>
                <c:pt idx="9">
                  <c:v>-8.1266862036605839E-2</c:v>
                </c:pt>
                <c:pt idx="10">
                  <c:v>-0.36608817970991953</c:v>
                </c:pt>
                <c:pt idx="11">
                  <c:v>-0.16225440345144806</c:v>
                </c:pt>
                <c:pt idx="12">
                  <c:v>-7.4472986515175588E-2</c:v>
                </c:pt>
                <c:pt idx="13">
                  <c:v>3.7348348339576334</c:v>
                </c:pt>
                <c:pt idx="14">
                  <c:v>-0.76968680611183427</c:v>
                </c:pt>
                <c:pt idx="15">
                  <c:v>0.7181653149142373</c:v>
                </c:pt>
              </c:numCache>
            </c:numRef>
          </c:val>
          <c:extLst>
            <c:ext xmlns:c16="http://schemas.microsoft.com/office/drawing/2014/chart" uri="{C3380CC4-5D6E-409C-BE32-E72D297353CC}">
              <c16:uniqueId val="{00000002-3EAD-7645-8E3B-153B269823B2}"/>
            </c:ext>
          </c:extLst>
        </c:ser>
        <c:ser>
          <c:idx val="3"/>
          <c:order val="3"/>
          <c:tx>
            <c:v>Marche</c:v>
          </c:tx>
          <c:spPr>
            <a:solidFill>
              <a:schemeClr val="accent4"/>
            </a:solidFill>
            <a:ln>
              <a:noFill/>
            </a:ln>
            <a:effectLst/>
          </c:spPr>
          <c:invertIfNegative val="0"/>
          <c:cat>
            <c:strRef>
              <c:f>'Distributions de coûts - graphs'!$A$4:$A$19</c:f>
              <c:strCache>
                <c:ptCount val="16"/>
                <c:pt idx="0">
                  <c:v>Agglomération de Montréal</c:v>
                </c:pt>
                <c:pt idx="1">
                  <c:v>Baie-D'Urfé</c:v>
                </c:pt>
                <c:pt idx="2">
                  <c:v>Beaconsfield, Quebec</c:v>
                </c:pt>
                <c:pt idx="3">
                  <c:v>Côte Saint-Luc</c:v>
                </c:pt>
                <c:pt idx="4">
                  <c:v>Dollard-des-Ormeaux</c:v>
                </c:pt>
                <c:pt idx="5">
                  <c:v>Dorval</c:v>
                </c:pt>
                <c:pt idx="6">
                  <c:v>Hampstead, Quebec</c:v>
                </c:pt>
                <c:pt idx="7">
                  <c:v>Kirkland, Quebec</c:v>
                </c:pt>
                <c:pt idx="8">
                  <c:v>Montreal</c:v>
                </c:pt>
                <c:pt idx="9">
                  <c:v>Montréal-Est, Quebec</c:v>
                </c:pt>
                <c:pt idx="10">
                  <c:v>Montreal West, Quebec</c:v>
                </c:pt>
                <c:pt idx="11">
                  <c:v>Mount Royal, Quebec</c:v>
                </c:pt>
                <c:pt idx="12">
                  <c:v>Pointe-Claire</c:v>
                </c:pt>
                <c:pt idx="13">
                  <c:v>Sainte-Anne-de-Bellevue</c:v>
                </c:pt>
                <c:pt idx="14">
                  <c:v>Senneville, Quebec</c:v>
                </c:pt>
                <c:pt idx="15">
                  <c:v>Westmount</c:v>
                </c:pt>
              </c:strCache>
            </c:strRef>
          </c:cat>
          <c:val>
            <c:numRef>
              <c:f>'Distributions de coûts - graphs'!$I$4:$I$19</c:f>
              <c:numCache>
                <c:formatCode>_("$"* #,##0.00_);_("$"* \(#,##0.00\);_("$"* "-"??_);_(@_)</c:formatCode>
                <c:ptCount val="16"/>
                <c:pt idx="0">
                  <c:v>-1.3355600853783987E-2</c:v>
                </c:pt>
                <c:pt idx="1">
                  <c:v>-0.1942266349039124</c:v>
                </c:pt>
                <c:pt idx="2">
                  <c:v>-0.25013063534295066</c:v>
                </c:pt>
                <c:pt idx="3">
                  <c:v>-0.13864248569761711</c:v>
                </c:pt>
                <c:pt idx="4">
                  <c:v>-0.27734080508702197</c:v>
                </c:pt>
                <c:pt idx="5">
                  <c:v>-0.23296896104175846</c:v>
                </c:pt>
                <c:pt idx="6">
                  <c:v>0.58053958039332831</c:v>
                </c:pt>
                <c:pt idx="7">
                  <c:v>-0.29399501880199908</c:v>
                </c:pt>
                <c:pt idx="8">
                  <c:v>-1.7877845106409159E-2</c:v>
                </c:pt>
                <c:pt idx="9">
                  <c:v>-1.6930028471383449E-2</c:v>
                </c:pt>
                <c:pt idx="10">
                  <c:v>0.32974827478635205</c:v>
                </c:pt>
                <c:pt idx="11">
                  <c:v>0.2573037537425924</c:v>
                </c:pt>
                <c:pt idx="12">
                  <c:v>-0.15080750891872427</c:v>
                </c:pt>
                <c:pt idx="13">
                  <c:v>-0.19552762879015012</c:v>
                </c:pt>
                <c:pt idx="14">
                  <c:v>0.1602207581353052</c:v>
                </c:pt>
                <c:pt idx="15">
                  <c:v>0.43216756970418563</c:v>
                </c:pt>
              </c:numCache>
            </c:numRef>
          </c:val>
          <c:extLst>
            <c:ext xmlns:c16="http://schemas.microsoft.com/office/drawing/2014/chart" uri="{C3380CC4-5D6E-409C-BE32-E72D297353CC}">
              <c16:uniqueId val="{00000003-3EAD-7645-8E3B-153B269823B2}"/>
            </c:ext>
          </c:extLst>
        </c:ser>
        <c:dLbls>
          <c:showLegendKey val="0"/>
          <c:showVal val="0"/>
          <c:showCatName val="0"/>
          <c:showSerName val="0"/>
          <c:showPercent val="0"/>
          <c:showBubbleSize val="0"/>
        </c:dLbls>
        <c:gapWidth val="150"/>
        <c:axId val="345569728"/>
        <c:axId val="345192160"/>
      </c:barChart>
      <c:catAx>
        <c:axId val="345569728"/>
        <c:scaling>
          <c:orientation val="minMax"/>
        </c:scaling>
        <c:delete val="0"/>
        <c:axPos val="b"/>
        <c:numFmt formatCode="General" sourceLinked="1"/>
        <c:majorTickMark val="none"/>
        <c:minorTickMark val="none"/>
        <c:tickLblPos val="high"/>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45192160"/>
        <c:crosses val="autoZero"/>
        <c:auto val="1"/>
        <c:lblAlgn val="ctr"/>
        <c:lblOffset val="400"/>
        <c:noMultiLvlLbl val="0"/>
      </c:catAx>
      <c:valAx>
        <c:axId val="345192160"/>
        <c:scaling>
          <c:orientation val="minMax"/>
          <c:max val="2"/>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a:t>
                </a:r>
                <a:r>
                  <a:rPr lang="en-US" baseline="0"/>
                  <a:t> social / $ privé</a:t>
                </a:r>
                <a:endParaRPr lang="en-US"/>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_(&quot;$&quot;* #,##0.00_);_(&quot;$&quot;* \(#,##0.0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45569728"/>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Distribution des coûts par catégories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clustered"/>
        <c:varyColors val="0"/>
        <c:ser>
          <c:idx val="0"/>
          <c:order val="0"/>
          <c:tx>
            <c:v>Auto</c:v>
          </c:tx>
          <c:spPr>
            <a:solidFill>
              <a:srgbClr val="F4B182"/>
            </a:solidFill>
            <a:ln>
              <a:noFill/>
            </a:ln>
            <a:effectLst/>
          </c:spPr>
          <c:invertIfNegative val="0"/>
          <c:cat>
            <c:strRef>
              <c:f>'Résultats finaux - PAR PERSONNE'!$C$3:$E$3</c:f>
              <c:strCache>
                <c:ptCount val="3"/>
                <c:pt idx="0">
                  <c:v>Privés</c:v>
                </c:pt>
                <c:pt idx="1">
                  <c:v>Indirects</c:v>
                </c:pt>
                <c:pt idx="2">
                  <c:v>Cachés</c:v>
                </c:pt>
              </c:strCache>
            </c:strRef>
          </c:cat>
          <c:val>
            <c:numRef>
              <c:f>'Résultats finaux - PAR PERSONNE'!$C$20:$E$20</c:f>
              <c:numCache>
                <c:formatCode>_("$"* #,##0.00_);_("$"* \(#,##0.00\);_("$"* "-"??_);_(@_)</c:formatCode>
                <c:ptCount val="3"/>
                <c:pt idx="0">
                  <c:v>5976.1963556096825</c:v>
                </c:pt>
                <c:pt idx="1">
                  <c:v>2849.9270299362952</c:v>
                </c:pt>
                <c:pt idx="2">
                  <c:v>6419.5033453279648</c:v>
                </c:pt>
              </c:numCache>
            </c:numRef>
          </c:val>
          <c:extLst>
            <c:ext xmlns:c16="http://schemas.microsoft.com/office/drawing/2014/chart" uri="{C3380CC4-5D6E-409C-BE32-E72D297353CC}">
              <c16:uniqueId val="{00000000-B6A9-B248-A3DC-8E02A261D44E}"/>
            </c:ext>
          </c:extLst>
        </c:ser>
        <c:ser>
          <c:idx val="1"/>
          <c:order val="1"/>
          <c:tx>
            <c:v>TC</c:v>
          </c:tx>
          <c:spPr>
            <a:solidFill>
              <a:srgbClr val="99BFE1"/>
            </a:solidFill>
            <a:ln>
              <a:noFill/>
            </a:ln>
            <a:effectLst/>
          </c:spPr>
          <c:invertIfNegative val="0"/>
          <c:val>
            <c:numRef>
              <c:f>'Résultats finaux - PAR PERSONNE'!$F$20:$H$20</c:f>
              <c:numCache>
                <c:formatCode>_("$"* #,##0.00_);_("$"* \(#,##0.00\);_("$"* "-"??_);_(@_)</c:formatCode>
                <c:ptCount val="3"/>
                <c:pt idx="0">
                  <c:v>4991.6517378241297</c:v>
                </c:pt>
                <c:pt idx="1">
                  <c:v>2543.3237772488219</c:v>
                </c:pt>
                <c:pt idx="2">
                  <c:v>-94.43847779899437</c:v>
                </c:pt>
              </c:numCache>
            </c:numRef>
          </c:val>
          <c:extLst>
            <c:ext xmlns:c16="http://schemas.microsoft.com/office/drawing/2014/chart" uri="{C3380CC4-5D6E-409C-BE32-E72D297353CC}">
              <c16:uniqueId val="{00000001-B6A9-B248-A3DC-8E02A261D44E}"/>
            </c:ext>
          </c:extLst>
        </c:ser>
        <c:ser>
          <c:idx val="2"/>
          <c:order val="2"/>
          <c:tx>
            <c:v>Vélo</c:v>
          </c:tx>
          <c:spPr>
            <a:solidFill>
              <a:srgbClr val="92D050"/>
            </a:solidFill>
            <a:ln>
              <a:noFill/>
            </a:ln>
            <a:effectLst/>
          </c:spPr>
          <c:invertIfNegative val="0"/>
          <c:val>
            <c:numRef>
              <c:f>'Résultats finaux - PAR PERSONNE'!$I$20:$K$20</c:f>
              <c:numCache>
                <c:formatCode>_("$"* #,##0.00_);_("$"* \(#,##0.00\);_("$"* "-"??_);_(@_)</c:formatCode>
                <c:ptCount val="3"/>
                <c:pt idx="0">
                  <c:v>2769.903951251305</c:v>
                </c:pt>
                <c:pt idx="1">
                  <c:v>786.06287538405513</c:v>
                </c:pt>
                <c:pt idx="2">
                  <c:v>-1123.6978449387911</c:v>
                </c:pt>
              </c:numCache>
            </c:numRef>
          </c:val>
          <c:extLst>
            <c:ext xmlns:c16="http://schemas.microsoft.com/office/drawing/2014/chart" uri="{C3380CC4-5D6E-409C-BE32-E72D297353CC}">
              <c16:uniqueId val="{00000002-B6A9-B248-A3DC-8E02A261D44E}"/>
            </c:ext>
          </c:extLst>
        </c:ser>
        <c:ser>
          <c:idx val="3"/>
          <c:order val="3"/>
          <c:tx>
            <c:v>Marche</c:v>
          </c:tx>
          <c:spPr>
            <a:solidFill>
              <a:schemeClr val="accent4"/>
            </a:solidFill>
            <a:ln>
              <a:noFill/>
            </a:ln>
            <a:effectLst/>
          </c:spPr>
          <c:invertIfNegative val="0"/>
          <c:val>
            <c:numRef>
              <c:f>'Résultats finaux - PAR PERSONNE'!$L$20:$N$20</c:f>
              <c:numCache>
                <c:formatCode>_("$"* #,##0.00_);_("$"* \(#,##0.00\);_("$"* "-"??_);_(@_)</c:formatCode>
                <c:ptCount val="3"/>
                <c:pt idx="0">
                  <c:v>2078.4828105786773</c:v>
                </c:pt>
                <c:pt idx="1">
                  <c:v>209.92313869282276</c:v>
                </c:pt>
                <c:pt idx="2">
                  <c:v>-237.68252549236274</c:v>
                </c:pt>
              </c:numCache>
            </c:numRef>
          </c:val>
          <c:extLst>
            <c:ext xmlns:c16="http://schemas.microsoft.com/office/drawing/2014/chart" uri="{C3380CC4-5D6E-409C-BE32-E72D297353CC}">
              <c16:uniqueId val="{00000003-B6A9-B248-A3DC-8E02A261D44E}"/>
            </c:ext>
          </c:extLst>
        </c:ser>
        <c:dLbls>
          <c:showLegendKey val="0"/>
          <c:showVal val="0"/>
          <c:showCatName val="0"/>
          <c:showSerName val="0"/>
          <c:showPercent val="0"/>
          <c:showBubbleSize val="0"/>
        </c:dLbls>
        <c:gapWidth val="219"/>
        <c:overlap val="-27"/>
        <c:axId val="1080199391"/>
        <c:axId val="1121354703"/>
      </c:barChart>
      <c:catAx>
        <c:axId val="10801993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121354703"/>
        <c:crosses val="autoZero"/>
        <c:auto val="1"/>
        <c:lblAlgn val="ctr"/>
        <c:lblOffset val="100"/>
        <c:noMultiLvlLbl val="0"/>
      </c:catAx>
      <c:valAx>
        <c:axId val="1121354703"/>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00_);_(&quot;$&quot;* \(#,##0.0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080199391"/>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Distribution des coûts totaux par ville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v>Achat et utilisation</c:v>
          </c:tx>
          <c:spPr>
            <a:solidFill>
              <a:schemeClr val="accent2"/>
            </a:solidFill>
            <a:ln>
              <a:noFill/>
            </a:ln>
            <a:effectLst/>
          </c:spPr>
          <c:invertIfNegative val="0"/>
          <c:cat>
            <c:strRef>
              <c:f>'Auto - résumé'!$A$3:$A$18</c:f>
              <c:strCache>
                <c:ptCount val="16"/>
                <c:pt idx="0">
                  <c:v>Agglomération de Montréal</c:v>
                </c:pt>
                <c:pt idx="1">
                  <c:v>Baie-D'Urfé</c:v>
                </c:pt>
                <c:pt idx="2">
                  <c:v>Beaconsfield, Quebec</c:v>
                </c:pt>
                <c:pt idx="3">
                  <c:v>Côte Saint-Luc</c:v>
                </c:pt>
                <c:pt idx="4">
                  <c:v>Dollard-des-Ormeaux</c:v>
                </c:pt>
                <c:pt idx="5">
                  <c:v>Dorval</c:v>
                </c:pt>
                <c:pt idx="6">
                  <c:v>Hampstead, Quebec</c:v>
                </c:pt>
                <c:pt idx="7">
                  <c:v>Kirkland, Quebec</c:v>
                </c:pt>
                <c:pt idx="8">
                  <c:v>Montreal</c:v>
                </c:pt>
                <c:pt idx="9">
                  <c:v>Montréal-Est, Quebec</c:v>
                </c:pt>
                <c:pt idx="10">
                  <c:v>Montreal West, Quebec</c:v>
                </c:pt>
                <c:pt idx="11">
                  <c:v>Mount Royal, Quebec</c:v>
                </c:pt>
                <c:pt idx="12">
                  <c:v>Pointe-Claire</c:v>
                </c:pt>
                <c:pt idx="13">
                  <c:v>Sainte-Anne-de-Bellevue</c:v>
                </c:pt>
                <c:pt idx="14">
                  <c:v>Senneville, Quebec</c:v>
                </c:pt>
                <c:pt idx="15">
                  <c:v>Westmount</c:v>
                </c:pt>
              </c:strCache>
            </c:strRef>
          </c:cat>
          <c:val>
            <c:numRef>
              <c:f>'Auto - résumé'!$B$3:$B$18</c:f>
              <c:numCache>
                <c:formatCode>_("$"* #,##0.00_);_("$"* \(#,##0.00\);_("$"* "-"??_);_(@_)</c:formatCode>
                <c:ptCount val="16"/>
                <c:pt idx="0">
                  <c:v>3272.909751619819</c:v>
                </c:pt>
                <c:pt idx="1">
                  <c:v>5166.4107641737255</c:v>
                </c:pt>
                <c:pt idx="2">
                  <c:v>5537.9746080126024</c:v>
                </c:pt>
                <c:pt idx="3">
                  <c:v>3077.6638217571399</c:v>
                </c:pt>
                <c:pt idx="4">
                  <c:v>4403.0139244778293</c:v>
                </c:pt>
                <c:pt idx="5">
                  <c:v>3897.7857691734616</c:v>
                </c:pt>
                <c:pt idx="6">
                  <c:v>2397.6249377349395</c:v>
                </c:pt>
                <c:pt idx="7">
                  <c:v>5622.555864970067</c:v>
                </c:pt>
                <c:pt idx="8">
                  <c:v>3133.9411780363453</c:v>
                </c:pt>
                <c:pt idx="9">
                  <c:v>3454.6396054555776</c:v>
                </c:pt>
                <c:pt idx="10">
                  <c:v>3389.1862177148732</c:v>
                </c:pt>
                <c:pt idx="11">
                  <c:v>2837.402392789013</c:v>
                </c:pt>
                <c:pt idx="12">
                  <c:v>3885.8991582836993</c:v>
                </c:pt>
                <c:pt idx="13">
                  <c:v>5427.0358731104707</c:v>
                </c:pt>
                <c:pt idx="14">
                  <c:v>7961.2997098110955</c:v>
                </c:pt>
                <c:pt idx="15">
                  <c:v>2443.3249441351109</c:v>
                </c:pt>
              </c:numCache>
            </c:numRef>
          </c:val>
          <c:extLst>
            <c:ext xmlns:c16="http://schemas.microsoft.com/office/drawing/2014/chart" uri="{C3380CC4-5D6E-409C-BE32-E72D297353CC}">
              <c16:uniqueId val="{00000000-C58E-D943-B672-95EE8CD0389B}"/>
            </c:ext>
          </c:extLst>
        </c:ser>
        <c:ser>
          <c:idx val="1"/>
          <c:order val="1"/>
          <c:tx>
            <c:v>Coûts fixes privés</c:v>
          </c:tx>
          <c:spPr>
            <a:solidFill>
              <a:schemeClr val="accent4"/>
            </a:solidFill>
            <a:ln>
              <a:noFill/>
            </a:ln>
            <a:effectLst/>
          </c:spPr>
          <c:invertIfNegative val="0"/>
          <c:cat>
            <c:strRef>
              <c:f>'Auto - résumé'!$A$3:$A$18</c:f>
              <c:strCache>
                <c:ptCount val="16"/>
                <c:pt idx="0">
                  <c:v>Agglomération de Montréal</c:v>
                </c:pt>
                <c:pt idx="1">
                  <c:v>Baie-D'Urfé</c:v>
                </c:pt>
                <c:pt idx="2">
                  <c:v>Beaconsfield, Quebec</c:v>
                </c:pt>
                <c:pt idx="3">
                  <c:v>Côte Saint-Luc</c:v>
                </c:pt>
                <c:pt idx="4">
                  <c:v>Dollard-des-Ormeaux</c:v>
                </c:pt>
                <c:pt idx="5">
                  <c:v>Dorval</c:v>
                </c:pt>
                <c:pt idx="6">
                  <c:v>Hampstead, Quebec</c:v>
                </c:pt>
                <c:pt idx="7">
                  <c:v>Kirkland, Quebec</c:v>
                </c:pt>
                <c:pt idx="8">
                  <c:v>Montreal</c:v>
                </c:pt>
                <c:pt idx="9">
                  <c:v>Montréal-Est, Quebec</c:v>
                </c:pt>
                <c:pt idx="10">
                  <c:v>Montreal West, Quebec</c:v>
                </c:pt>
                <c:pt idx="11">
                  <c:v>Mount Royal, Quebec</c:v>
                </c:pt>
                <c:pt idx="12">
                  <c:v>Pointe-Claire</c:v>
                </c:pt>
                <c:pt idx="13">
                  <c:v>Sainte-Anne-de-Bellevue</c:v>
                </c:pt>
                <c:pt idx="14">
                  <c:v>Senneville, Quebec</c:v>
                </c:pt>
                <c:pt idx="15">
                  <c:v>Westmount</c:v>
                </c:pt>
              </c:strCache>
            </c:strRef>
          </c:cat>
          <c:val>
            <c:numRef>
              <c:f>'Auto - résumé'!$C$3:$C$18</c:f>
              <c:numCache>
                <c:formatCode>_("$"* #,##0.00_);_("$"* \(#,##0.00\);_("$"* "-"??_);_(@_)</c:formatCode>
                <c:ptCount val="16"/>
                <c:pt idx="0">
                  <c:v>535.79560301458696</c:v>
                </c:pt>
                <c:pt idx="1">
                  <c:v>535.79560301458696</c:v>
                </c:pt>
                <c:pt idx="2">
                  <c:v>535.79560301458696</c:v>
                </c:pt>
                <c:pt idx="3">
                  <c:v>535.79560301458696</c:v>
                </c:pt>
                <c:pt idx="4">
                  <c:v>535.79560301458696</c:v>
                </c:pt>
                <c:pt idx="5">
                  <c:v>535.79560301458696</c:v>
                </c:pt>
                <c:pt idx="6">
                  <c:v>535.79560301458696</c:v>
                </c:pt>
                <c:pt idx="7">
                  <c:v>535.79560301458696</c:v>
                </c:pt>
                <c:pt idx="8">
                  <c:v>535.79560301458696</c:v>
                </c:pt>
                <c:pt idx="9">
                  <c:v>535.79560301458696</c:v>
                </c:pt>
                <c:pt idx="10">
                  <c:v>535.79560301458696</c:v>
                </c:pt>
                <c:pt idx="11">
                  <c:v>535.79560301458696</c:v>
                </c:pt>
                <c:pt idx="12">
                  <c:v>535.79560301458696</c:v>
                </c:pt>
                <c:pt idx="13">
                  <c:v>535.79560301458696</c:v>
                </c:pt>
                <c:pt idx="14">
                  <c:v>535.79560301458696</c:v>
                </c:pt>
                <c:pt idx="15">
                  <c:v>535.79560301458696</c:v>
                </c:pt>
              </c:numCache>
            </c:numRef>
          </c:val>
          <c:extLst>
            <c:ext xmlns:c16="http://schemas.microsoft.com/office/drawing/2014/chart" uri="{C3380CC4-5D6E-409C-BE32-E72D297353CC}">
              <c16:uniqueId val="{00000001-C58E-D943-B672-95EE8CD0389B}"/>
            </c:ext>
          </c:extLst>
        </c:ser>
        <c:ser>
          <c:idx val="2"/>
          <c:order val="2"/>
          <c:tx>
            <c:v>Temps de déplacement</c:v>
          </c:tx>
          <c:spPr>
            <a:solidFill>
              <a:schemeClr val="accent6"/>
            </a:solidFill>
            <a:ln>
              <a:noFill/>
            </a:ln>
            <a:effectLst/>
          </c:spPr>
          <c:invertIfNegative val="0"/>
          <c:cat>
            <c:strRef>
              <c:f>'Auto - résumé'!$A$3:$A$18</c:f>
              <c:strCache>
                <c:ptCount val="16"/>
                <c:pt idx="0">
                  <c:v>Agglomération de Montréal</c:v>
                </c:pt>
                <c:pt idx="1">
                  <c:v>Baie-D'Urfé</c:v>
                </c:pt>
                <c:pt idx="2">
                  <c:v>Beaconsfield, Quebec</c:v>
                </c:pt>
                <c:pt idx="3">
                  <c:v>Côte Saint-Luc</c:v>
                </c:pt>
                <c:pt idx="4">
                  <c:v>Dollard-des-Ormeaux</c:v>
                </c:pt>
                <c:pt idx="5">
                  <c:v>Dorval</c:v>
                </c:pt>
                <c:pt idx="6">
                  <c:v>Hampstead, Quebec</c:v>
                </c:pt>
                <c:pt idx="7">
                  <c:v>Kirkland, Quebec</c:v>
                </c:pt>
                <c:pt idx="8">
                  <c:v>Montreal</c:v>
                </c:pt>
                <c:pt idx="9">
                  <c:v>Montréal-Est, Quebec</c:v>
                </c:pt>
                <c:pt idx="10">
                  <c:v>Montreal West, Quebec</c:v>
                </c:pt>
                <c:pt idx="11">
                  <c:v>Mount Royal, Quebec</c:v>
                </c:pt>
                <c:pt idx="12">
                  <c:v>Pointe-Claire</c:v>
                </c:pt>
                <c:pt idx="13">
                  <c:v>Sainte-Anne-de-Bellevue</c:v>
                </c:pt>
                <c:pt idx="14">
                  <c:v>Senneville, Quebec</c:v>
                </c:pt>
                <c:pt idx="15">
                  <c:v>Westmount</c:v>
                </c:pt>
              </c:strCache>
            </c:strRef>
          </c:cat>
          <c:val>
            <c:numRef>
              <c:f>'Auto - résumé'!$D$3:$D$18</c:f>
              <c:numCache>
                <c:formatCode>_("$"* #,##0.00_);_("$"* \(#,##0.00\);_("$"* "-"??_);_(@_)</c:formatCode>
                <c:ptCount val="16"/>
                <c:pt idx="0">
                  <c:v>2167.4910009752771</c:v>
                </c:pt>
                <c:pt idx="1">
                  <c:v>1852.5689260118947</c:v>
                </c:pt>
                <c:pt idx="2">
                  <c:v>2184.5293997688464</c:v>
                </c:pt>
                <c:pt idx="3">
                  <c:v>2052.3902717410629</c:v>
                </c:pt>
                <c:pt idx="4">
                  <c:v>2228.2053719712503</c:v>
                </c:pt>
                <c:pt idx="5">
                  <c:v>1855.7637756956199</c:v>
                </c:pt>
                <c:pt idx="6">
                  <c:v>1632.0393623284449</c:v>
                </c:pt>
                <c:pt idx="7">
                  <c:v>2335.6046513576116</c:v>
                </c:pt>
                <c:pt idx="8">
                  <c:v>2188.5803858393433</c:v>
                </c:pt>
                <c:pt idx="9">
                  <c:v>2397.8154448841015</c:v>
                </c:pt>
                <c:pt idx="10">
                  <c:v>2374.7582261113903</c:v>
                </c:pt>
                <c:pt idx="11">
                  <c:v>1825.1107437201449</c:v>
                </c:pt>
                <c:pt idx="12">
                  <c:v>1776.2043427104782</c:v>
                </c:pt>
                <c:pt idx="13">
                  <c:v>2209.2050034537697</c:v>
                </c:pt>
                <c:pt idx="14">
                  <c:v>2724.0528642408317</c:v>
                </c:pt>
                <c:pt idx="15">
                  <c:v>1701.09921966355</c:v>
                </c:pt>
              </c:numCache>
            </c:numRef>
          </c:val>
          <c:extLst>
            <c:ext xmlns:c16="http://schemas.microsoft.com/office/drawing/2014/chart" uri="{C3380CC4-5D6E-409C-BE32-E72D297353CC}">
              <c16:uniqueId val="{00000002-C58E-D943-B672-95EE8CD0389B}"/>
            </c:ext>
          </c:extLst>
        </c:ser>
        <c:ser>
          <c:idx val="3"/>
          <c:order val="3"/>
          <c:tx>
            <c:v>Coûts publics</c:v>
          </c:tx>
          <c:spPr>
            <a:solidFill>
              <a:schemeClr val="accent2">
                <a:lumMod val="60000"/>
              </a:schemeClr>
            </a:solidFill>
            <a:ln>
              <a:noFill/>
            </a:ln>
            <a:effectLst/>
          </c:spPr>
          <c:invertIfNegative val="0"/>
          <c:cat>
            <c:strRef>
              <c:f>'Auto - résumé'!$A$3:$A$18</c:f>
              <c:strCache>
                <c:ptCount val="16"/>
                <c:pt idx="0">
                  <c:v>Agglomération de Montréal</c:v>
                </c:pt>
                <c:pt idx="1">
                  <c:v>Baie-D'Urfé</c:v>
                </c:pt>
                <c:pt idx="2">
                  <c:v>Beaconsfield, Quebec</c:v>
                </c:pt>
                <c:pt idx="3">
                  <c:v>Côte Saint-Luc</c:v>
                </c:pt>
                <c:pt idx="4">
                  <c:v>Dollard-des-Ormeaux</c:v>
                </c:pt>
                <c:pt idx="5">
                  <c:v>Dorval</c:v>
                </c:pt>
                <c:pt idx="6">
                  <c:v>Hampstead, Quebec</c:v>
                </c:pt>
                <c:pt idx="7">
                  <c:v>Kirkland, Quebec</c:v>
                </c:pt>
                <c:pt idx="8">
                  <c:v>Montreal</c:v>
                </c:pt>
                <c:pt idx="9">
                  <c:v>Montréal-Est, Quebec</c:v>
                </c:pt>
                <c:pt idx="10">
                  <c:v>Montreal West, Quebec</c:v>
                </c:pt>
                <c:pt idx="11">
                  <c:v>Mount Royal, Quebec</c:v>
                </c:pt>
                <c:pt idx="12">
                  <c:v>Pointe-Claire</c:v>
                </c:pt>
                <c:pt idx="13">
                  <c:v>Sainte-Anne-de-Bellevue</c:v>
                </c:pt>
                <c:pt idx="14">
                  <c:v>Senneville, Quebec</c:v>
                </c:pt>
                <c:pt idx="15">
                  <c:v>Westmount</c:v>
                </c:pt>
              </c:strCache>
            </c:strRef>
          </c:cat>
          <c:val>
            <c:numRef>
              <c:f>'Auto - résumé'!$E$3:$E$18</c:f>
              <c:numCache>
                <c:formatCode>_("$"* #,##0.00_);_("$"* \(#,##0.00\);_("$"* "-"??_);_(@_)</c:formatCode>
                <c:ptCount val="16"/>
                <c:pt idx="0">
                  <c:v>2849.9270299362952</c:v>
                </c:pt>
                <c:pt idx="1">
                  <c:v>4169.1447210011147</c:v>
                </c:pt>
                <c:pt idx="2">
                  <c:v>1818.5244144284034</c:v>
                </c:pt>
                <c:pt idx="3">
                  <c:v>2005.3392605084582</c:v>
                </c:pt>
                <c:pt idx="4">
                  <c:v>1846.1888617529257</c:v>
                </c:pt>
                <c:pt idx="5">
                  <c:v>3075.5976837006388</c:v>
                </c:pt>
                <c:pt idx="6">
                  <c:v>3508.1075587275845</c:v>
                </c:pt>
                <c:pt idx="7">
                  <c:v>2488.2309711251328</c:v>
                </c:pt>
                <c:pt idx="8">
                  <c:v>2894.0874044214256</c:v>
                </c:pt>
                <c:pt idx="9">
                  <c:v>6072.668086064813</c:v>
                </c:pt>
                <c:pt idx="10">
                  <c:v>3626.6995272403651</c:v>
                </c:pt>
                <c:pt idx="11">
                  <c:v>3004.3733730273202</c:v>
                </c:pt>
                <c:pt idx="12">
                  <c:v>2860.5271559525104</c:v>
                </c:pt>
                <c:pt idx="13">
                  <c:v>2995.7696309232474</c:v>
                </c:pt>
                <c:pt idx="14">
                  <c:v>3624.5812248674652</c:v>
                </c:pt>
                <c:pt idx="15">
                  <c:v>3665.9934988164364</c:v>
                </c:pt>
              </c:numCache>
            </c:numRef>
          </c:val>
          <c:extLst>
            <c:ext xmlns:c16="http://schemas.microsoft.com/office/drawing/2014/chart" uri="{C3380CC4-5D6E-409C-BE32-E72D297353CC}">
              <c16:uniqueId val="{00000003-C58E-D943-B672-95EE8CD0389B}"/>
            </c:ext>
          </c:extLst>
        </c:ser>
        <c:ser>
          <c:idx val="4"/>
          <c:order val="4"/>
          <c:tx>
            <c:v>GES</c:v>
          </c:tx>
          <c:spPr>
            <a:solidFill>
              <a:schemeClr val="accent4">
                <a:lumMod val="60000"/>
              </a:schemeClr>
            </a:solidFill>
            <a:ln>
              <a:noFill/>
            </a:ln>
            <a:effectLst/>
          </c:spPr>
          <c:invertIfNegative val="0"/>
          <c:cat>
            <c:strRef>
              <c:f>'Auto - résumé'!$A$3:$A$18</c:f>
              <c:strCache>
                <c:ptCount val="16"/>
                <c:pt idx="0">
                  <c:v>Agglomération de Montréal</c:v>
                </c:pt>
                <c:pt idx="1">
                  <c:v>Baie-D'Urfé</c:v>
                </c:pt>
                <c:pt idx="2">
                  <c:v>Beaconsfield, Quebec</c:v>
                </c:pt>
                <c:pt idx="3">
                  <c:v>Côte Saint-Luc</c:v>
                </c:pt>
                <c:pt idx="4">
                  <c:v>Dollard-des-Ormeaux</c:v>
                </c:pt>
                <c:pt idx="5">
                  <c:v>Dorval</c:v>
                </c:pt>
                <c:pt idx="6">
                  <c:v>Hampstead, Quebec</c:v>
                </c:pt>
                <c:pt idx="7">
                  <c:v>Kirkland, Quebec</c:v>
                </c:pt>
                <c:pt idx="8">
                  <c:v>Montreal</c:v>
                </c:pt>
                <c:pt idx="9">
                  <c:v>Montréal-Est, Quebec</c:v>
                </c:pt>
                <c:pt idx="10">
                  <c:v>Montreal West, Quebec</c:v>
                </c:pt>
                <c:pt idx="11">
                  <c:v>Mount Royal, Quebec</c:v>
                </c:pt>
                <c:pt idx="12">
                  <c:v>Pointe-Claire</c:v>
                </c:pt>
                <c:pt idx="13">
                  <c:v>Sainte-Anne-de-Bellevue</c:v>
                </c:pt>
                <c:pt idx="14">
                  <c:v>Senneville, Quebec</c:v>
                </c:pt>
                <c:pt idx="15">
                  <c:v>Westmount</c:v>
                </c:pt>
              </c:strCache>
            </c:strRef>
          </c:cat>
          <c:val>
            <c:numRef>
              <c:f>'Auto - résumé'!$F$3:$F$18</c:f>
              <c:numCache>
                <c:formatCode>_("$"* #,##0.00_);_("$"* \(#,##0.00\);_("$"* "-"??_);_(@_)</c:formatCode>
                <c:ptCount val="16"/>
                <c:pt idx="0">
                  <c:v>678.81993073148044</c:v>
                </c:pt>
                <c:pt idx="1">
                  <c:v>747.19822646730017</c:v>
                </c:pt>
                <c:pt idx="2">
                  <c:v>846.47172346113916</c:v>
                </c:pt>
                <c:pt idx="3">
                  <c:v>567.50220290208279</c:v>
                </c:pt>
                <c:pt idx="4">
                  <c:v>773.233085361196</c:v>
                </c:pt>
                <c:pt idx="5">
                  <c:v>678.47837249347458</c:v>
                </c:pt>
                <c:pt idx="6">
                  <c:v>466.20199383783665</c:v>
                </c:pt>
                <c:pt idx="7">
                  <c:v>887.45618655059582</c:v>
                </c:pt>
                <c:pt idx="8">
                  <c:v>675.48662261092102</c:v>
                </c:pt>
                <c:pt idx="9">
                  <c:v>764.63166524121289</c:v>
                </c:pt>
                <c:pt idx="10">
                  <c:v>710.07475269977692</c:v>
                </c:pt>
                <c:pt idx="11">
                  <c:v>560.56166162094178</c:v>
                </c:pt>
                <c:pt idx="12">
                  <c:v>636.62314126865397</c:v>
                </c:pt>
                <c:pt idx="13">
                  <c:v>900.78697809153255</c:v>
                </c:pt>
                <c:pt idx="14">
                  <c:v>1189.6515104810921</c:v>
                </c:pt>
                <c:pt idx="15">
                  <c:v>476.23642313910744</c:v>
                </c:pt>
              </c:numCache>
            </c:numRef>
          </c:val>
          <c:extLst>
            <c:ext xmlns:c16="http://schemas.microsoft.com/office/drawing/2014/chart" uri="{C3380CC4-5D6E-409C-BE32-E72D297353CC}">
              <c16:uniqueId val="{00000004-C58E-D943-B672-95EE8CD0389B}"/>
            </c:ext>
          </c:extLst>
        </c:ser>
        <c:ser>
          <c:idx val="5"/>
          <c:order val="5"/>
          <c:tx>
            <c:v>Congestion</c:v>
          </c:tx>
          <c:spPr>
            <a:solidFill>
              <a:schemeClr val="accent6">
                <a:lumMod val="60000"/>
              </a:schemeClr>
            </a:solidFill>
            <a:ln>
              <a:noFill/>
            </a:ln>
            <a:effectLst/>
          </c:spPr>
          <c:invertIfNegative val="0"/>
          <c:cat>
            <c:strRef>
              <c:f>'Auto - résumé'!$A$3:$A$18</c:f>
              <c:strCache>
                <c:ptCount val="16"/>
                <c:pt idx="0">
                  <c:v>Agglomération de Montréal</c:v>
                </c:pt>
                <c:pt idx="1">
                  <c:v>Baie-D'Urfé</c:v>
                </c:pt>
                <c:pt idx="2">
                  <c:v>Beaconsfield, Quebec</c:v>
                </c:pt>
                <c:pt idx="3">
                  <c:v>Côte Saint-Luc</c:v>
                </c:pt>
                <c:pt idx="4">
                  <c:v>Dollard-des-Ormeaux</c:v>
                </c:pt>
                <c:pt idx="5">
                  <c:v>Dorval</c:v>
                </c:pt>
                <c:pt idx="6">
                  <c:v>Hampstead, Quebec</c:v>
                </c:pt>
                <c:pt idx="7">
                  <c:v>Kirkland, Quebec</c:v>
                </c:pt>
                <c:pt idx="8">
                  <c:v>Montreal</c:v>
                </c:pt>
                <c:pt idx="9">
                  <c:v>Montréal-Est, Quebec</c:v>
                </c:pt>
                <c:pt idx="10">
                  <c:v>Montreal West, Quebec</c:v>
                </c:pt>
                <c:pt idx="11">
                  <c:v>Mount Royal, Quebec</c:v>
                </c:pt>
                <c:pt idx="12">
                  <c:v>Pointe-Claire</c:v>
                </c:pt>
                <c:pt idx="13">
                  <c:v>Sainte-Anne-de-Bellevue</c:v>
                </c:pt>
                <c:pt idx="14">
                  <c:v>Senneville, Quebec</c:v>
                </c:pt>
                <c:pt idx="15">
                  <c:v>Westmount</c:v>
                </c:pt>
              </c:strCache>
            </c:strRef>
          </c:cat>
          <c:val>
            <c:numRef>
              <c:f>'Auto - résumé'!$G$3:$G$18</c:f>
              <c:numCache>
                <c:formatCode>_("$"* #,##0.00_);_("$"* \(#,##0.00\);_("$"* "-"??_);_(@_)</c:formatCode>
                <c:ptCount val="16"/>
                <c:pt idx="0">
                  <c:v>2053.8338069208912</c:v>
                </c:pt>
                <c:pt idx="1">
                  <c:v>1058.6599171175521</c:v>
                </c:pt>
                <c:pt idx="2">
                  <c:v>1681.9725595357745</c:v>
                </c:pt>
                <c:pt idx="3">
                  <c:v>2158.5349944249083</c:v>
                </c:pt>
                <c:pt idx="4">
                  <c:v>2121.5472587850672</c:v>
                </c:pt>
                <c:pt idx="5">
                  <c:v>1436.3498384203608</c:v>
                </c:pt>
                <c:pt idx="6">
                  <c:v>1602.353341992995</c:v>
                </c:pt>
                <c:pt idx="7">
                  <c:v>1842.1312254385189</c:v>
                </c:pt>
                <c:pt idx="8">
                  <c:v>2106.4524718737412</c:v>
                </c:pt>
                <c:pt idx="9">
                  <c:v>2271.8557423159345</c:v>
                </c:pt>
                <c:pt idx="10">
                  <c:v>2038.4261403082207</c:v>
                </c:pt>
                <c:pt idx="11">
                  <c:v>1352.0247028253732</c:v>
                </c:pt>
                <c:pt idx="12">
                  <c:v>1277.0643049730586</c:v>
                </c:pt>
                <c:pt idx="13">
                  <c:v>1202.3098673322488</c:v>
                </c:pt>
                <c:pt idx="14">
                  <c:v>1481.8879641507174</c:v>
                </c:pt>
                <c:pt idx="15">
                  <c:v>1649.7972222023725</c:v>
                </c:pt>
              </c:numCache>
            </c:numRef>
          </c:val>
          <c:extLst>
            <c:ext xmlns:c16="http://schemas.microsoft.com/office/drawing/2014/chart" uri="{C3380CC4-5D6E-409C-BE32-E72D297353CC}">
              <c16:uniqueId val="{00000005-C58E-D943-B672-95EE8CD0389B}"/>
            </c:ext>
          </c:extLst>
        </c:ser>
        <c:ser>
          <c:idx val="6"/>
          <c:order val="6"/>
          <c:tx>
            <c:v>Autres externalités</c:v>
          </c:tx>
          <c:spPr>
            <a:solidFill>
              <a:schemeClr val="accent2">
                <a:lumMod val="80000"/>
                <a:lumOff val="20000"/>
              </a:schemeClr>
            </a:solidFill>
            <a:ln>
              <a:noFill/>
            </a:ln>
            <a:effectLst/>
          </c:spPr>
          <c:invertIfNegative val="0"/>
          <c:cat>
            <c:strRef>
              <c:f>'Auto - résumé'!$A$3:$A$18</c:f>
              <c:strCache>
                <c:ptCount val="16"/>
                <c:pt idx="0">
                  <c:v>Agglomération de Montréal</c:v>
                </c:pt>
                <c:pt idx="1">
                  <c:v>Baie-D'Urfé</c:v>
                </c:pt>
                <c:pt idx="2">
                  <c:v>Beaconsfield, Quebec</c:v>
                </c:pt>
                <c:pt idx="3">
                  <c:v>Côte Saint-Luc</c:v>
                </c:pt>
                <c:pt idx="4">
                  <c:v>Dollard-des-Ormeaux</c:v>
                </c:pt>
                <c:pt idx="5">
                  <c:v>Dorval</c:v>
                </c:pt>
                <c:pt idx="6">
                  <c:v>Hampstead, Quebec</c:v>
                </c:pt>
                <c:pt idx="7">
                  <c:v>Kirkland, Quebec</c:v>
                </c:pt>
                <c:pt idx="8">
                  <c:v>Montreal</c:v>
                </c:pt>
                <c:pt idx="9">
                  <c:v>Montréal-Est, Quebec</c:v>
                </c:pt>
                <c:pt idx="10">
                  <c:v>Montreal West, Quebec</c:v>
                </c:pt>
                <c:pt idx="11">
                  <c:v>Mount Royal, Quebec</c:v>
                </c:pt>
                <c:pt idx="12">
                  <c:v>Pointe-Claire</c:v>
                </c:pt>
                <c:pt idx="13">
                  <c:v>Sainte-Anne-de-Bellevue</c:v>
                </c:pt>
                <c:pt idx="14">
                  <c:v>Senneville, Quebec</c:v>
                </c:pt>
                <c:pt idx="15">
                  <c:v>Westmount</c:v>
                </c:pt>
              </c:strCache>
            </c:strRef>
          </c:cat>
          <c:val>
            <c:numRef>
              <c:f>'Auto - résumé'!$H$3:$H$18</c:f>
              <c:numCache>
                <c:formatCode>_("$"* #,##0.00_);_("$"* \(#,##0.00\);_("$"* "-"??_);_(@_)</c:formatCode>
                <c:ptCount val="16"/>
                <c:pt idx="0">
                  <c:v>3686.8496076755923</c:v>
                </c:pt>
                <c:pt idx="1">
                  <c:v>3835.2502639727973</c:v>
                </c:pt>
                <c:pt idx="2">
                  <c:v>3220.1410286852124</c:v>
                </c:pt>
                <c:pt idx="3">
                  <c:v>2659.7022256575347</c:v>
                </c:pt>
                <c:pt idx="4">
                  <c:v>3118.6720733654211</c:v>
                </c:pt>
                <c:pt idx="5">
                  <c:v>3193.7115537622003</c:v>
                </c:pt>
                <c:pt idx="6">
                  <c:v>7818.850123270513</c:v>
                </c:pt>
                <c:pt idx="7">
                  <c:v>3408.782835647442</c:v>
                </c:pt>
                <c:pt idx="8">
                  <c:v>3666.95091459586</c:v>
                </c:pt>
                <c:pt idx="9">
                  <c:v>2677.9032698585384</c:v>
                </c:pt>
                <c:pt idx="10">
                  <c:v>5016.851569026765</c:v>
                </c:pt>
                <c:pt idx="11">
                  <c:v>7687.8793032209878</c:v>
                </c:pt>
                <c:pt idx="12">
                  <c:v>3350.6953696109258</c:v>
                </c:pt>
                <c:pt idx="13">
                  <c:v>2109.4344098962097</c:v>
                </c:pt>
                <c:pt idx="14">
                  <c:v>2058.6402026712603</c:v>
                </c:pt>
                <c:pt idx="15">
                  <c:v>7937.441154575894</c:v>
                </c:pt>
              </c:numCache>
            </c:numRef>
          </c:val>
          <c:extLst>
            <c:ext xmlns:c16="http://schemas.microsoft.com/office/drawing/2014/chart" uri="{C3380CC4-5D6E-409C-BE32-E72D297353CC}">
              <c16:uniqueId val="{00000006-C58E-D943-B672-95EE8CD0389B}"/>
            </c:ext>
          </c:extLst>
        </c:ser>
        <c:dLbls>
          <c:showLegendKey val="0"/>
          <c:showVal val="0"/>
          <c:showCatName val="0"/>
          <c:showSerName val="0"/>
          <c:showPercent val="0"/>
          <c:showBubbleSize val="0"/>
        </c:dLbls>
        <c:gapWidth val="150"/>
        <c:overlap val="100"/>
        <c:axId val="1374668288"/>
        <c:axId val="1480908496"/>
      </c:barChart>
      <c:catAx>
        <c:axId val="13746682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80908496"/>
        <c:crosses val="autoZero"/>
        <c:auto val="1"/>
        <c:lblAlgn val="ctr"/>
        <c:lblOffset val="100"/>
        <c:noMultiLvlLbl val="0"/>
      </c:catAx>
      <c:valAx>
        <c:axId val="1480908496"/>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00_);_(&quot;$&quot;* \(#,##0.0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7466828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Distribution des coûts totaux par arrondissement</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v>Achat et utlisation</c:v>
          </c:tx>
          <c:spPr>
            <a:solidFill>
              <a:schemeClr val="accent2"/>
            </a:solidFill>
            <a:ln>
              <a:noFill/>
            </a:ln>
            <a:effectLst/>
          </c:spPr>
          <c:invertIfNegative val="0"/>
          <c:cat>
            <c:strRef>
              <c:f>'Auto - résumé'!$A$20:$A$38</c:f>
              <c:strCache>
                <c:ptCount val="19"/>
                <c:pt idx="0">
                  <c:v>Ahuntsic-Cartierville</c:v>
                </c:pt>
                <c:pt idx="1">
                  <c:v>Anjou, Quebec</c:v>
                </c:pt>
                <c:pt idx="2">
                  <c:v>Côte-des-Neiges–Notre-Dame-de-Grâce</c:v>
                </c:pt>
                <c:pt idx="3">
                  <c:v>L'Île-Bizard–Sainte-Geneviève</c:v>
                </c:pt>
                <c:pt idx="4">
                  <c:v>Lachine, Quebec</c:v>
                </c:pt>
                <c:pt idx="5">
                  <c:v>LaSalle, Quebec</c:v>
                </c:pt>
                <c:pt idx="6">
                  <c:v>Mercier–Hochelaga-Maisonneuve</c:v>
                </c:pt>
                <c:pt idx="7">
                  <c:v>Montréal-Nord</c:v>
                </c:pt>
                <c:pt idx="8">
                  <c:v>Outremont, Quebec</c:v>
                </c:pt>
                <c:pt idx="9">
                  <c:v>Pierrefonds-Roxboro</c:v>
                </c:pt>
                <c:pt idx="10">
                  <c:v>Le Plateau-Mont-Royal</c:v>
                </c:pt>
                <c:pt idx="11">
                  <c:v>Rivière-des-Prairies–Pointe-aux-Trembles</c:v>
                </c:pt>
                <c:pt idx="12">
                  <c:v>Rosemont–La Petite-Patrie</c:v>
                </c:pt>
                <c:pt idx="13">
                  <c:v>Saint-Laurent, Quebec</c:v>
                </c:pt>
                <c:pt idx="14">
                  <c:v>Saint-Leonard, Quebec</c:v>
                </c:pt>
                <c:pt idx="15">
                  <c:v>Le Sud-Ouest</c:v>
                </c:pt>
                <c:pt idx="16">
                  <c:v>Verdun, Quebec</c:v>
                </c:pt>
                <c:pt idx="17">
                  <c:v>Ville-Marie, Montreal</c:v>
                </c:pt>
                <c:pt idx="18">
                  <c:v>Villeray–Saint-Michel–Parc-Extension</c:v>
                </c:pt>
              </c:strCache>
            </c:strRef>
          </c:cat>
          <c:val>
            <c:numRef>
              <c:f>'Auto - résumé'!$B$20:$B$38</c:f>
              <c:numCache>
                <c:formatCode>_("$"* #,##0.00_);_("$"* \(#,##0.00\);_("$"* "-"??_);_(@_)</c:formatCode>
                <c:ptCount val="19"/>
                <c:pt idx="0">
                  <c:v>2988.8943425627385</c:v>
                </c:pt>
                <c:pt idx="1">
                  <c:v>3264.912506714978</c:v>
                </c:pt>
                <c:pt idx="2">
                  <c:v>2414.1396862792271</c:v>
                </c:pt>
                <c:pt idx="3">
                  <c:v>5618.2302631731527</c:v>
                </c:pt>
                <c:pt idx="4">
                  <c:v>3410.0351849389481</c:v>
                </c:pt>
                <c:pt idx="5">
                  <c:v>3057.7613414357784</c:v>
                </c:pt>
                <c:pt idx="6">
                  <c:v>2826.7152217926923</c:v>
                </c:pt>
                <c:pt idx="7">
                  <c:v>2854.9667410438769</c:v>
                </c:pt>
                <c:pt idx="8">
                  <c:v>2455.7934399686737</c:v>
                </c:pt>
                <c:pt idx="9">
                  <c:v>4370.4952266953187</c:v>
                </c:pt>
                <c:pt idx="10">
                  <c:v>2640.3765989679687</c:v>
                </c:pt>
                <c:pt idx="11">
                  <c:v>4366.6461388965909</c:v>
                </c:pt>
                <c:pt idx="12">
                  <c:v>2621.1515629357432</c:v>
                </c:pt>
                <c:pt idx="13">
                  <c:v>3124.6960062421836</c:v>
                </c:pt>
                <c:pt idx="14">
                  <c:v>2785.4287563870321</c:v>
                </c:pt>
                <c:pt idx="15">
                  <c:v>3029.6739899937911</c:v>
                </c:pt>
                <c:pt idx="16">
                  <c:v>3513.6963782050871</c:v>
                </c:pt>
                <c:pt idx="17">
                  <c:v>2796.6960137822234</c:v>
                </c:pt>
                <c:pt idx="18">
                  <c:v>2669.4560354826403</c:v>
                </c:pt>
              </c:numCache>
            </c:numRef>
          </c:val>
          <c:extLst>
            <c:ext xmlns:c16="http://schemas.microsoft.com/office/drawing/2014/chart" uri="{C3380CC4-5D6E-409C-BE32-E72D297353CC}">
              <c16:uniqueId val="{00000000-2B5A-0D41-82C4-226F521FD2ED}"/>
            </c:ext>
          </c:extLst>
        </c:ser>
        <c:ser>
          <c:idx val="1"/>
          <c:order val="1"/>
          <c:tx>
            <c:v>Coûts fixes privés</c:v>
          </c:tx>
          <c:spPr>
            <a:solidFill>
              <a:schemeClr val="accent4"/>
            </a:solidFill>
            <a:ln>
              <a:noFill/>
            </a:ln>
            <a:effectLst/>
          </c:spPr>
          <c:invertIfNegative val="0"/>
          <c:cat>
            <c:strRef>
              <c:f>'Auto - résumé'!$A$20:$A$38</c:f>
              <c:strCache>
                <c:ptCount val="19"/>
                <c:pt idx="0">
                  <c:v>Ahuntsic-Cartierville</c:v>
                </c:pt>
                <c:pt idx="1">
                  <c:v>Anjou, Quebec</c:v>
                </c:pt>
                <c:pt idx="2">
                  <c:v>Côte-des-Neiges–Notre-Dame-de-Grâce</c:v>
                </c:pt>
                <c:pt idx="3">
                  <c:v>L'Île-Bizard–Sainte-Geneviève</c:v>
                </c:pt>
                <c:pt idx="4">
                  <c:v>Lachine, Quebec</c:v>
                </c:pt>
                <c:pt idx="5">
                  <c:v>LaSalle, Quebec</c:v>
                </c:pt>
                <c:pt idx="6">
                  <c:v>Mercier–Hochelaga-Maisonneuve</c:v>
                </c:pt>
                <c:pt idx="7">
                  <c:v>Montréal-Nord</c:v>
                </c:pt>
                <c:pt idx="8">
                  <c:v>Outremont, Quebec</c:v>
                </c:pt>
                <c:pt idx="9">
                  <c:v>Pierrefonds-Roxboro</c:v>
                </c:pt>
                <c:pt idx="10">
                  <c:v>Le Plateau-Mont-Royal</c:v>
                </c:pt>
                <c:pt idx="11">
                  <c:v>Rivière-des-Prairies–Pointe-aux-Trembles</c:v>
                </c:pt>
                <c:pt idx="12">
                  <c:v>Rosemont–La Petite-Patrie</c:v>
                </c:pt>
                <c:pt idx="13">
                  <c:v>Saint-Laurent, Quebec</c:v>
                </c:pt>
                <c:pt idx="14">
                  <c:v>Saint-Leonard, Quebec</c:v>
                </c:pt>
                <c:pt idx="15">
                  <c:v>Le Sud-Ouest</c:v>
                </c:pt>
                <c:pt idx="16">
                  <c:v>Verdun, Quebec</c:v>
                </c:pt>
                <c:pt idx="17">
                  <c:v>Ville-Marie, Montreal</c:v>
                </c:pt>
                <c:pt idx="18">
                  <c:v>Villeray–Saint-Michel–Parc-Extension</c:v>
                </c:pt>
              </c:strCache>
            </c:strRef>
          </c:cat>
          <c:val>
            <c:numRef>
              <c:f>'Auto - résumé'!$C$20:$C$38</c:f>
              <c:numCache>
                <c:formatCode>_("$"* #,##0.00_);_("$"* \(#,##0.00\);_("$"* "-"??_);_(@_)</c:formatCode>
                <c:ptCount val="19"/>
                <c:pt idx="0">
                  <c:v>535.79560301458696</c:v>
                </c:pt>
                <c:pt idx="1">
                  <c:v>535.79560301458696</c:v>
                </c:pt>
                <c:pt idx="2">
                  <c:v>535.79560301458696</c:v>
                </c:pt>
                <c:pt idx="3">
                  <c:v>535.79560301458696</c:v>
                </c:pt>
                <c:pt idx="4">
                  <c:v>535.79560301458696</c:v>
                </c:pt>
                <c:pt idx="5">
                  <c:v>535.79560301458696</c:v>
                </c:pt>
                <c:pt idx="6">
                  <c:v>535.79560301458696</c:v>
                </c:pt>
                <c:pt idx="7">
                  <c:v>535.79560301458696</c:v>
                </c:pt>
                <c:pt idx="8">
                  <c:v>535.79560301458696</c:v>
                </c:pt>
                <c:pt idx="9">
                  <c:v>535.79560301458696</c:v>
                </c:pt>
                <c:pt idx="10">
                  <c:v>535.79560301458696</c:v>
                </c:pt>
                <c:pt idx="11">
                  <c:v>535.79560301458696</c:v>
                </c:pt>
                <c:pt idx="12">
                  <c:v>535.79560301458696</c:v>
                </c:pt>
                <c:pt idx="13">
                  <c:v>535.79560301458696</c:v>
                </c:pt>
                <c:pt idx="14">
                  <c:v>535.79560301458696</c:v>
                </c:pt>
                <c:pt idx="15">
                  <c:v>535.79560301458696</c:v>
                </c:pt>
                <c:pt idx="16">
                  <c:v>535.79560301458696</c:v>
                </c:pt>
                <c:pt idx="17">
                  <c:v>535.79560301458696</c:v>
                </c:pt>
                <c:pt idx="18">
                  <c:v>535.79560301458696</c:v>
                </c:pt>
              </c:numCache>
            </c:numRef>
          </c:val>
          <c:extLst>
            <c:ext xmlns:c16="http://schemas.microsoft.com/office/drawing/2014/chart" uri="{C3380CC4-5D6E-409C-BE32-E72D297353CC}">
              <c16:uniqueId val="{00000001-2B5A-0D41-82C4-226F521FD2ED}"/>
            </c:ext>
          </c:extLst>
        </c:ser>
        <c:ser>
          <c:idx val="2"/>
          <c:order val="2"/>
          <c:tx>
            <c:v>Temps de déplacement</c:v>
          </c:tx>
          <c:spPr>
            <a:solidFill>
              <a:schemeClr val="accent6"/>
            </a:solidFill>
            <a:ln>
              <a:noFill/>
            </a:ln>
            <a:effectLst/>
          </c:spPr>
          <c:invertIfNegative val="0"/>
          <c:cat>
            <c:strRef>
              <c:f>'Auto - résumé'!$A$20:$A$38</c:f>
              <c:strCache>
                <c:ptCount val="19"/>
                <c:pt idx="0">
                  <c:v>Ahuntsic-Cartierville</c:v>
                </c:pt>
                <c:pt idx="1">
                  <c:v>Anjou, Quebec</c:v>
                </c:pt>
                <c:pt idx="2">
                  <c:v>Côte-des-Neiges–Notre-Dame-de-Grâce</c:v>
                </c:pt>
                <c:pt idx="3">
                  <c:v>L'Île-Bizard–Sainte-Geneviève</c:v>
                </c:pt>
                <c:pt idx="4">
                  <c:v>Lachine, Quebec</c:v>
                </c:pt>
                <c:pt idx="5">
                  <c:v>LaSalle, Quebec</c:v>
                </c:pt>
                <c:pt idx="6">
                  <c:v>Mercier–Hochelaga-Maisonneuve</c:v>
                </c:pt>
                <c:pt idx="7">
                  <c:v>Montréal-Nord</c:v>
                </c:pt>
                <c:pt idx="8">
                  <c:v>Outremont, Quebec</c:v>
                </c:pt>
                <c:pt idx="9">
                  <c:v>Pierrefonds-Roxboro</c:v>
                </c:pt>
                <c:pt idx="10">
                  <c:v>Le Plateau-Mont-Royal</c:v>
                </c:pt>
                <c:pt idx="11">
                  <c:v>Rivière-des-Prairies–Pointe-aux-Trembles</c:v>
                </c:pt>
                <c:pt idx="12">
                  <c:v>Rosemont–La Petite-Patrie</c:v>
                </c:pt>
                <c:pt idx="13">
                  <c:v>Saint-Laurent, Quebec</c:v>
                </c:pt>
                <c:pt idx="14">
                  <c:v>Saint-Leonard, Quebec</c:v>
                </c:pt>
                <c:pt idx="15">
                  <c:v>Le Sud-Ouest</c:v>
                </c:pt>
                <c:pt idx="16">
                  <c:v>Verdun, Quebec</c:v>
                </c:pt>
                <c:pt idx="17">
                  <c:v>Ville-Marie, Montreal</c:v>
                </c:pt>
                <c:pt idx="18">
                  <c:v>Villeray–Saint-Michel–Parc-Extension</c:v>
                </c:pt>
              </c:strCache>
            </c:strRef>
          </c:cat>
          <c:val>
            <c:numRef>
              <c:f>'Auto - résumé'!$D$20:$D$38</c:f>
              <c:numCache>
                <c:formatCode>_("$"* #,##0.00_);_("$"* \(#,##0.00\);_("$"* "-"??_);_(@_)</c:formatCode>
                <c:ptCount val="19"/>
                <c:pt idx="0">
                  <c:v>2179.4427097478001</c:v>
                </c:pt>
                <c:pt idx="1">
                  <c:v>2228.0171633061182</c:v>
                </c:pt>
                <c:pt idx="2">
                  <c:v>1871.9958823310963</c:v>
                </c:pt>
                <c:pt idx="3">
                  <c:v>2606.21093712112</c:v>
                </c:pt>
                <c:pt idx="4">
                  <c:v>2218.7742582034516</c:v>
                </c:pt>
                <c:pt idx="5">
                  <c:v>1883.8173223908734</c:v>
                </c:pt>
                <c:pt idx="6">
                  <c:v>2207.4301725420814</c:v>
                </c:pt>
                <c:pt idx="7">
                  <c:v>2333.7755160538818</c:v>
                </c:pt>
                <c:pt idx="8">
                  <c:v>1956.5854155496017</c:v>
                </c:pt>
                <c:pt idx="9">
                  <c:v>2354.5732286729099</c:v>
                </c:pt>
                <c:pt idx="10">
                  <c:v>2326.3389655820183</c:v>
                </c:pt>
                <c:pt idx="11">
                  <c:v>2571.9129226766736</c:v>
                </c:pt>
                <c:pt idx="12">
                  <c:v>2277.8844578823664</c:v>
                </c:pt>
                <c:pt idx="13">
                  <c:v>1982.8745609078119</c:v>
                </c:pt>
                <c:pt idx="14">
                  <c:v>2189.6859478368347</c:v>
                </c:pt>
                <c:pt idx="15">
                  <c:v>2091.1337669228301</c:v>
                </c:pt>
                <c:pt idx="16">
                  <c:v>2169.472791240767</c:v>
                </c:pt>
                <c:pt idx="17">
                  <c:v>2103.1480150087164</c:v>
                </c:pt>
                <c:pt idx="18">
                  <c:v>2165.9570098025529</c:v>
                </c:pt>
              </c:numCache>
            </c:numRef>
          </c:val>
          <c:extLst>
            <c:ext xmlns:c16="http://schemas.microsoft.com/office/drawing/2014/chart" uri="{C3380CC4-5D6E-409C-BE32-E72D297353CC}">
              <c16:uniqueId val="{00000002-2B5A-0D41-82C4-226F521FD2ED}"/>
            </c:ext>
          </c:extLst>
        </c:ser>
        <c:ser>
          <c:idx val="3"/>
          <c:order val="3"/>
          <c:tx>
            <c:v>Coûts publics</c:v>
          </c:tx>
          <c:spPr>
            <a:solidFill>
              <a:schemeClr val="accent2">
                <a:lumMod val="60000"/>
              </a:schemeClr>
            </a:solidFill>
            <a:ln>
              <a:noFill/>
            </a:ln>
            <a:effectLst/>
          </c:spPr>
          <c:invertIfNegative val="0"/>
          <c:cat>
            <c:strRef>
              <c:f>'Auto - résumé'!$A$20:$A$38</c:f>
              <c:strCache>
                <c:ptCount val="19"/>
                <c:pt idx="0">
                  <c:v>Ahuntsic-Cartierville</c:v>
                </c:pt>
                <c:pt idx="1">
                  <c:v>Anjou, Quebec</c:v>
                </c:pt>
                <c:pt idx="2">
                  <c:v>Côte-des-Neiges–Notre-Dame-de-Grâce</c:v>
                </c:pt>
                <c:pt idx="3">
                  <c:v>L'Île-Bizard–Sainte-Geneviève</c:v>
                </c:pt>
                <c:pt idx="4">
                  <c:v>Lachine, Quebec</c:v>
                </c:pt>
                <c:pt idx="5">
                  <c:v>LaSalle, Quebec</c:v>
                </c:pt>
                <c:pt idx="6">
                  <c:v>Mercier–Hochelaga-Maisonneuve</c:v>
                </c:pt>
                <c:pt idx="7">
                  <c:v>Montréal-Nord</c:v>
                </c:pt>
                <c:pt idx="8">
                  <c:v>Outremont, Quebec</c:v>
                </c:pt>
                <c:pt idx="9">
                  <c:v>Pierrefonds-Roxboro</c:v>
                </c:pt>
                <c:pt idx="10">
                  <c:v>Le Plateau-Mont-Royal</c:v>
                </c:pt>
                <c:pt idx="11">
                  <c:v>Rivière-des-Prairies–Pointe-aux-Trembles</c:v>
                </c:pt>
                <c:pt idx="12">
                  <c:v>Rosemont–La Petite-Patrie</c:v>
                </c:pt>
                <c:pt idx="13">
                  <c:v>Saint-Laurent, Quebec</c:v>
                </c:pt>
                <c:pt idx="14">
                  <c:v>Saint-Leonard, Quebec</c:v>
                </c:pt>
                <c:pt idx="15">
                  <c:v>Le Sud-Ouest</c:v>
                </c:pt>
                <c:pt idx="16">
                  <c:v>Verdun, Quebec</c:v>
                </c:pt>
                <c:pt idx="17">
                  <c:v>Ville-Marie, Montreal</c:v>
                </c:pt>
                <c:pt idx="18">
                  <c:v>Villeray–Saint-Michel–Parc-Extension</c:v>
                </c:pt>
              </c:strCache>
            </c:strRef>
          </c:cat>
          <c:val>
            <c:numRef>
              <c:f>'Auto - résumé'!$E$20:$E$38</c:f>
              <c:numCache>
                <c:formatCode>_("$"* #,##0.00_);_("$"* \(#,##0.00\);_("$"* "-"??_);_(@_)</c:formatCode>
                <c:ptCount val="19"/>
                <c:pt idx="0">
                  <c:v>2909.1846754144062</c:v>
                </c:pt>
                <c:pt idx="1">
                  <c:v>2923.8028105185326</c:v>
                </c:pt>
                <c:pt idx="2">
                  <c:v>2878.1195837757018</c:v>
                </c:pt>
                <c:pt idx="3">
                  <c:v>2974.9826503680733</c:v>
                </c:pt>
                <c:pt idx="4">
                  <c:v>2898.2031256178302</c:v>
                </c:pt>
                <c:pt idx="5">
                  <c:v>2894.1463525259865</c:v>
                </c:pt>
                <c:pt idx="6">
                  <c:v>2884.2271595581019</c:v>
                </c:pt>
                <c:pt idx="7">
                  <c:v>2911.8294677901354</c:v>
                </c:pt>
                <c:pt idx="8">
                  <c:v>2865.8826230751997</c:v>
                </c:pt>
                <c:pt idx="9">
                  <c:v>2878.8180732576971</c:v>
                </c:pt>
                <c:pt idx="10">
                  <c:v>2879.4265570567904</c:v>
                </c:pt>
                <c:pt idx="11">
                  <c:v>2916.5763120639626</c:v>
                </c:pt>
                <c:pt idx="12">
                  <c:v>2889.4200301868173</c:v>
                </c:pt>
                <c:pt idx="13">
                  <c:v>2853.5260831670807</c:v>
                </c:pt>
                <c:pt idx="14">
                  <c:v>2933.1694558574391</c:v>
                </c:pt>
                <c:pt idx="15">
                  <c:v>2845.1619277865916</c:v>
                </c:pt>
                <c:pt idx="16">
                  <c:v>2885.4165411786125</c:v>
                </c:pt>
                <c:pt idx="17">
                  <c:v>2960.259663563535</c:v>
                </c:pt>
                <c:pt idx="18">
                  <c:v>2857.9024970573587</c:v>
                </c:pt>
              </c:numCache>
            </c:numRef>
          </c:val>
          <c:extLst>
            <c:ext xmlns:c16="http://schemas.microsoft.com/office/drawing/2014/chart" uri="{C3380CC4-5D6E-409C-BE32-E72D297353CC}">
              <c16:uniqueId val="{00000003-2B5A-0D41-82C4-226F521FD2ED}"/>
            </c:ext>
          </c:extLst>
        </c:ser>
        <c:ser>
          <c:idx val="4"/>
          <c:order val="4"/>
          <c:tx>
            <c:v>GES</c:v>
          </c:tx>
          <c:spPr>
            <a:solidFill>
              <a:schemeClr val="accent4">
                <a:lumMod val="60000"/>
              </a:schemeClr>
            </a:solidFill>
            <a:ln>
              <a:noFill/>
            </a:ln>
            <a:effectLst/>
          </c:spPr>
          <c:invertIfNegative val="0"/>
          <c:cat>
            <c:strRef>
              <c:f>'Auto - résumé'!$A$20:$A$38</c:f>
              <c:strCache>
                <c:ptCount val="19"/>
                <c:pt idx="0">
                  <c:v>Ahuntsic-Cartierville</c:v>
                </c:pt>
                <c:pt idx="1">
                  <c:v>Anjou, Quebec</c:v>
                </c:pt>
                <c:pt idx="2">
                  <c:v>Côte-des-Neiges–Notre-Dame-de-Grâce</c:v>
                </c:pt>
                <c:pt idx="3">
                  <c:v>L'Île-Bizard–Sainte-Geneviève</c:v>
                </c:pt>
                <c:pt idx="4">
                  <c:v>Lachine, Quebec</c:v>
                </c:pt>
                <c:pt idx="5">
                  <c:v>LaSalle, Quebec</c:v>
                </c:pt>
                <c:pt idx="6">
                  <c:v>Mercier–Hochelaga-Maisonneuve</c:v>
                </c:pt>
                <c:pt idx="7">
                  <c:v>Montréal-Nord</c:v>
                </c:pt>
                <c:pt idx="8">
                  <c:v>Outremont, Quebec</c:v>
                </c:pt>
                <c:pt idx="9">
                  <c:v>Pierrefonds-Roxboro</c:v>
                </c:pt>
                <c:pt idx="10">
                  <c:v>Le Plateau-Mont-Royal</c:v>
                </c:pt>
                <c:pt idx="11">
                  <c:v>Rivière-des-Prairies–Pointe-aux-Trembles</c:v>
                </c:pt>
                <c:pt idx="12">
                  <c:v>Rosemont–La Petite-Patrie</c:v>
                </c:pt>
                <c:pt idx="13">
                  <c:v>Saint-Laurent, Quebec</c:v>
                </c:pt>
                <c:pt idx="14">
                  <c:v>Saint-Leonard, Quebec</c:v>
                </c:pt>
                <c:pt idx="15">
                  <c:v>Le Sud-Ouest</c:v>
                </c:pt>
                <c:pt idx="16">
                  <c:v>Verdun, Quebec</c:v>
                </c:pt>
                <c:pt idx="17">
                  <c:v>Ville-Marie, Montreal</c:v>
                </c:pt>
                <c:pt idx="18">
                  <c:v>Villeray–Saint-Michel–Parc-Extension</c:v>
                </c:pt>
              </c:strCache>
            </c:strRef>
          </c:cat>
          <c:val>
            <c:numRef>
              <c:f>'Auto - résumé'!$F$20:$F$38</c:f>
              <c:numCache>
                <c:formatCode>_("$"* #,##0.00_);_("$"* \(#,##0.00\);_("$"* "-"??_);_(@_)</c:formatCode>
                <c:ptCount val="19"/>
                <c:pt idx="0">
                  <c:v>647.09501650522634</c:v>
                </c:pt>
                <c:pt idx="1">
                  <c:v>700.87255344446498</c:v>
                </c:pt>
                <c:pt idx="2">
                  <c:v>553.56789588768027</c:v>
                </c:pt>
                <c:pt idx="3">
                  <c:v>913.1113209320298</c:v>
                </c:pt>
                <c:pt idx="4">
                  <c:v>710.20635774599691</c:v>
                </c:pt>
                <c:pt idx="5">
                  <c:v>642.00488842356765</c:v>
                </c:pt>
                <c:pt idx="6">
                  <c:v>660.03216133984404</c:v>
                </c:pt>
                <c:pt idx="7">
                  <c:v>672.48499157437129</c:v>
                </c:pt>
                <c:pt idx="8">
                  <c:v>530.90275883166782</c:v>
                </c:pt>
                <c:pt idx="9">
                  <c:v>807.94246663528065</c:v>
                </c:pt>
                <c:pt idx="10">
                  <c:v>653.08948094877712</c:v>
                </c:pt>
                <c:pt idx="11">
                  <c:v>855.54596956886348</c:v>
                </c:pt>
                <c:pt idx="12">
                  <c:v>639.68941728914342</c:v>
                </c:pt>
                <c:pt idx="13">
                  <c:v>618.81743399332606</c:v>
                </c:pt>
                <c:pt idx="14">
                  <c:v>643.27398496301009</c:v>
                </c:pt>
                <c:pt idx="15">
                  <c:v>680.25290174925692</c:v>
                </c:pt>
                <c:pt idx="16">
                  <c:v>713.96768193625189</c:v>
                </c:pt>
                <c:pt idx="17">
                  <c:v>630.52479118121016</c:v>
                </c:pt>
                <c:pt idx="18">
                  <c:v>649.20888536278062</c:v>
                </c:pt>
              </c:numCache>
            </c:numRef>
          </c:val>
          <c:extLst>
            <c:ext xmlns:c16="http://schemas.microsoft.com/office/drawing/2014/chart" uri="{C3380CC4-5D6E-409C-BE32-E72D297353CC}">
              <c16:uniqueId val="{00000004-2B5A-0D41-82C4-226F521FD2ED}"/>
            </c:ext>
          </c:extLst>
        </c:ser>
        <c:ser>
          <c:idx val="5"/>
          <c:order val="5"/>
          <c:tx>
            <c:v>Congestion</c:v>
          </c:tx>
          <c:spPr>
            <a:solidFill>
              <a:schemeClr val="accent6">
                <a:lumMod val="60000"/>
              </a:schemeClr>
            </a:solidFill>
            <a:ln>
              <a:noFill/>
            </a:ln>
            <a:effectLst/>
          </c:spPr>
          <c:invertIfNegative val="0"/>
          <c:cat>
            <c:strRef>
              <c:f>'Auto - résumé'!$A$20:$A$38</c:f>
              <c:strCache>
                <c:ptCount val="19"/>
                <c:pt idx="0">
                  <c:v>Ahuntsic-Cartierville</c:v>
                </c:pt>
                <c:pt idx="1">
                  <c:v>Anjou, Quebec</c:v>
                </c:pt>
                <c:pt idx="2">
                  <c:v>Côte-des-Neiges–Notre-Dame-de-Grâce</c:v>
                </c:pt>
                <c:pt idx="3">
                  <c:v>L'Île-Bizard–Sainte-Geneviève</c:v>
                </c:pt>
                <c:pt idx="4">
                  <c:v>Lachine, Quebec</c:v>
                </c:pt>
                <c:pt idx="5">
                  <c:v>LaSalle, Quebec</c:v>
                </c:pt>
                <c:pt idx="6">
                  <c:v>Mercier–Hochelaga-Maisonneuve</c:v>
                </c:pt>
                <c:pt idx="7">
                  <c:v>Montréal-Nord</c:v>
                </c:pt>
                <c:pt idx="8">
                  <c:v>Outremont, Quebec</c:v>
                </c:pt>
                <c:pt idx="9">
                  <c:v>Pierrefonds-Roxboro</c:v>
                </c:pt>
                <c:pt idx="10">
                  <c:v>Le Plateau-Mont-Royal</c:v>
                </c:pt>
                <c:pt idx="11">
                  <c:v>Rivière-des-Prairies–Pointe-aux-Trembles</c:v>
                </c:pt>
                <c:pt idx="12">
                  <c:v>Rosemont–La Petite-Patrie</c:v>
                </c:pt>
                <c:pt idx="13">
                  <c:v>Saint-Laurent, Quebec</c:v>
                </c:pt>
                <c:pt idx="14">
                  <c:v>Saint-Leonard, Quebec</c:v>
                </c:pt>
                <c:pt idx="15">
                  <c:v>Le Sud-Ouest</c:v>
                </c:pt>
                <c:pt idx="16">
                  <c:v>Verdun, Quebec</c:v>
                </c:pt>
                <c:pt idx="17">
                  <c:v>Ville-Marie, Montreal</c:v>
                </c:pt>
                <c:pt idx="18">
                  <c:v>Villeray–Saint-Michel–Parc-Extension</c:v>
                </c:pt>
              </c:strCache>
            </c:strRef>
          </c:cat>
          <c:val>
            <c:numRef>
              <c:f>'Auto - résumé'!$G$20:$G$38</c:f>
              <c:numCache>
                <c:formatCode>_("$"* #,##0.00_);_("$"* \(#,##0.00\);_("$"* "-"??_);_(@_)</c:formatCode>
                <c:ptCount val="19"/>
                <c:pt idx="0">
                  <c:v>2062.5011250004427</c:v>
                </c:pt>
                <c:pt idx="1">
                  <c:v>2616.8635372896692</c:v>
                </c:pt>
                <c:pt idx="2">
                  <c:v>1668.8287010727363</c:v>
                </c:pt>
                <c:pt idx="3">
                  <c:v>2111.2350065652367</c:v>
                </c:pt>
                <c:pt idx="4">
                  <c:v>1998.7878070575566</c:v>
                </c:pt>
                <c:pt idx="5">
                  <c:v>1653.0087683418924</c:v>
                </c:pt>
                <c:pt idx="6">
                  <c:v>2312.7726246810362</c:v>
                </c:pt>
                <c:pt idx="7">
                  <c:v>2321.1545698028958</c:v>
                </c:pt>
                <c:pt idx="8">
                  <c:v>1478.3451247322907</c:v>
                </c:pt>
                <c:pt idx="9">
                  <c:v>2183.8932140503821</c:v>
                </c:pt>
                <c:pt idx="10">
                  <c:v>1797.9254980499502</c:v>
                </c:pt>
                <c:pt idx="11">
                  <c:v>2839.2898017310113</c:v>
                </c:pt>
                <c:pt idx="12">
                  <c:v>2304.0503195622023</c:v>
                </c:pt>
                <c:pt idx="13">
                  <c:v>1781.8281290968534</c:v>
                </c:pt>
                <c:pt idx="14">
                  <c:v>2526.3175062496075</c:v>
                </c:pt>
                <c:pt idx="15">
                  <c:v>1882.1604205503656</c:v>
                </c:pt>
                <c:pt idx="16">
                  <c:v>2032.0336902434938</c:v>
                </c:pt>
                <c:pt idx="17">
                  <c:v>1745.1822272542165</c:v>
                </c:pt>
                <c:pt idx="18">
                  <c:v>2047.6342706137129</c:v>
                </c:pt>
              </c:numCache>
            </c:numRef>
          </c:val>
          <c:extLst>
            <c:ext xmlns:c16="http://schemas.microsoft.com/office/drawing/2014/chart" uri="{C3380CC4-5D6E-409C-BE32-E72D297353CC}">
              <c16:uniqueId val="{00000005-2B5A-0D41-82C4-226F521FD2ED}"/>
            </c:ext>
          </c:extLst>
        </c:ser>
        <c:ser>
          <c:idx val="6"/>
          <c:order val="6"/>
          <c:tx>
            <c:v>Autres externalités</c:v>
          </c:tx>
          <c:spPr>
            <a:solidFill>
              <a:schemeClr val="accent2">
                <a:lumMod val="80000"/>
                <a:lumOff val="20000"/>
              </a:schemeClr>
            </a:solidFill>
            <a:ln>
              <a:noFill/>
            </a:ln>
            <a:effectLst/>
          </c:spPr>
          <c:invertIfNegative val="0"/>
          <c:cat>
            <c:strRef>
              <c:f>'Auto - résumé'!$A$20:$A$38</c:f>
              <c:strCache>
                <c:ptCount val="19"/>
                <c:pt idx="0">
                  <c:v>Ahuntsic-Cartierville</c:v>
                </c:pt>
                <c:pt idx="1">
                  <c:v>Anjou, Quebec</c:v>
                </c:pt>
                <c:pt idx="2">
                  <c:v>Côte-des-Neiges–Notre-Dame-de-Grâce</c:v>
                </c:pt>
                <c:pt idx="3">
                  <c:v>L'Île-Bizard–Sainte-Geneviève</c:v>
                </c:pt>
                <c:pt idx="4">
                  <c:v>Lachine, Quebec</c:v>
                </c:pt>
                <c:pt idx="5">
                  <c:v>LaSalle, Quebec</c:v>
                </c:pt>
                <c:pt idx="6">
                  <c:v>Mercier–Hochelaga-Maisonneuve</c:v>
                </c:pt>
                <c:pt idx="7">
                  <c:v>Montréal-Nord</c:v>
                </c:pt>
                <c:pt idx="8">
                  <c:v>Outremont, Quebec</c:v>
                </c:pt>
                <c:pt idx="9">
                  <c:v>Pierrefonds-Roxboro</c:v>
                </c:pt>
                <c:pt idx="10">
                  <c:v>Le Plateau-Mont-Royal</c:v>
                </c:pt>
                <c:pt idx="11">
                  <c:v>Rivière-des-Prairies–Pointe-aux-Trembles</c:v>
                </c:pt>
                <c:pt idx="12">
                  <c:v>Rosemont–La Petite-Patrie</c:v>
                </c:pt>
                <c:pt idx="13">
                  <c:v>Saint-Laurent, Quebec</c:v>
                </c:pt>
                <c:pt idx="14">
                  <c:v>Saint-Leonard, Quebec</c:v>
                </c:pt>
                <c:pt idx="15">
                  <c:v>Le Sud-Ouest</c:v>
                </c:pt>
                <c:pt idx="16">
                  <c:v>Verdun, Quebec</c:v>
                </c:pt>
                <c:pt idx="17">
                  <c:v>Ville-Marie, Montreal</c:v>
                </c:pt>
                <c:pt idx="18">
                  <c:v>Villeray–Saint-Michel–Parc-Extension</c:v>
                </c:pt>
              </c:strCache>
            </c:strRef>
          </c:cat>
          <c:val>
            <c:numRef>
              <c:f>'Auto - résumé'!$H$20:$H$38</c:f>
              <c:numCache>
                <c:formatCode>_("$"* #,##0.00_);_("$"* \(#,##0.00\);_("$"* "-"??_);_(@_)</c:formatCode>
                <c:ptCount val="19"/>
                <c:pt idx="0">
                  <c:v>3812.2942707123148</c:v>
                </c:pt>
                <c:pt idx="1">
                  <c:v>3420.0401752222019</c:v>
                </c:pt>
                <c:pt idx="2">
                  <c:v>3439.573943737284</c:v>
                </c:pt>
                <c:pt idx="3">
                  <c:v>1958.4221089392265</c:v>
                </c:pt>
                <c:pt idx="4">
                  <c:v>3163.659915838216</c:v>
                </c:pt>
                <c:pt idx="5">
                  <c:v>3394.9507707330499</c:v>
                </c:pt>
                <c:pt idx="6">
                  <c:v>3266.4497675507891</c:v>
                </c:pt>
                <c:pt idx="7">
                  <c:v>2876.8894264923447</c:v>
                </c:pt>
                <c:pt idx="8">
                  <c:v>6346.650321743251</c:v>
                </c:pt>
                <c:pt idx="9">
                  <c:v>2417.0115449974601</c:v>
                </c:pt>
                <c:pt idx="10">
                  <c:v>6622.1451807747144</c:v>
                </c:pt>
                <c:pt idx="11">
                  <c:v>2624.630340946147</c:v>
                </c:pt>
                <c:pt idx="12">
                  <c:v>4381.9716063431924</c:v>
                </c:pt>
                <c:pt idx="13">
                  <c:v>3488.322844102252</c:v>
                </c:pt>
                <c:pt idx="14">
                  <c:v>3241.9117064622669</c:v>
                </c:pt>
                <c:pt idx="15">
                  <c:v>3587.9599009829481</c:v>
                </c:pt>
                <c:pt idx="16">
                  <c:v>3523.5453581732727</c:v>
                </c:pt>
                <c:pt idx="17">
                  <c:v>7639.4022809435692</c:v>
                </c:pt>
                <c:pt idx="18">
                  <c:v>3341.3427844629109</c:v>
                </c:pt>
              </c:numCache>
            </c:numRef>
          </c:val>
          <c:extLst>
            <c:ext xmlns:c16="http://schemas.microsoft.com/office/drawing/2014/chart" uri="{C3380CC4-5D6E-409C-BE32-E72D297353CC}">
              <c16:uniqueId val="{00000006-2B5A-0D41-82C4-226F521FD2ED}"/>
            </c:ext>
          </c:extLst>
        </c:ser>
        <c:dLbls>
          <c:showLegendKey val="0"/>
          <c:showVal val="0"/>
          <c:showCatName val="0"/>
          <c:showSerName val="0"/>
          <c:showPercent val="0"/>
          <c:showBubbleSize val="0"/>
        </c:dLbls>
        <c:gapWidth val="150"/>
        <c:overlap val="100"/>
        <c:axId val="1374668288"/>
        <c:axId val="1480908496"/>
      </c:barChart>
      <c:catAx>
        <c:axId val="13746682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80908496"/>
        <c:crosses val="autoZero"/>
        <c:auto val="1"/>
        <c:lblAlgn val="ctr"/>
        <c:lblOffset val="100"/>
        <c:noMultiLvlLbl val="0"/>
      </c:catAx>
      <c:valAx>
        <c:axId val="1480908496"/>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00_);_(&quot;$&quot;* \(#,##0.0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7466828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Distribution</a:t>
            </a:r>
            <a:r>
              <a:rPr lang="en-US" baseline="0"/>
              <a:t> des coûts totaux par ville</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v>Utilisation</c:v>
          </c:tx>
          <c:spPr>
            <a:solidFill>
              <a:schemeClr val="accent1"/>
            </a:solidFill>
            <a:ln>
              <a:noFill/>
            </a:ln>
            <a:effectLst/>
          </c:spPr>
          <c:invertIfNegative val="0"/>
          <c:cat>
            <c:strRef>
              <c:f>'TC - résumé'!$A$3:$A$18</c:f>
              <c:strCache>
                <c:ptCount val="16"/>
                <c:pt idx="0">
                  <c:v>Agglomération de Montréal</c:v>
                </c:pt>
                <c:pt idx="1">
                  <c:v>Baie-D'Urfé</c:v>
                </c:pt>
                <c:pt idx="2">
                  <c:v>Beaconsfield, Quebec</c:v>
                </c:pt>
                <c:pt idx="3">
                  <c:v>Côte Saint-Luc</c:v>
                </c:pt>
                <c:pt idx="4">
                  <c:v>Dollard-des-Ormeaux</c:v>
                </c:pt>
                <c:pt idx="5">
                  <c:v>Dorval</c:v>
                </c:pt>
                <c:pt idx="6">
                  <c:v>Hampstead, Quebec</c:v>
                </c:pt>
                <c:pt idx="7">
                  <c:v>Kirkland, Quebec</c:v>
                </c:pt>
                <c:pt idx="8">
                  <c:v>Montreal</c:v>
                </c:pt>
                <c:pt idx="9">
                  <c:v>Montréal-Est, Quebec</c:v>
                </c:pt>
                <c:pt idx="10">
                  <c:v>Montreal West, Quebec</c:v>
                </c:pt>
                <c:pt idx="11">
                  <c:v>Mount Royal, Quebec</c:v>
                </c:pt>
                <c:pt idx="12">
                  <c:v>Pointe-Claire</c:v>
                </c:pt>
                <c:pt idx="13">
                  <c:v>Sainte-Anne-de-Bellevue</c:v>
                </c:pt>
                <c:pt idx="14">
                  <c:v>Senneville, Quebec</c:v>
                </c:pt>
                <c:pt idx="15">
                  <c:v>Westmount</c:v>
                </c:pt>
              </c:strCache>
            </c:strRef>
          </c:cat>
          <c:val>
            <c:numRef>
              <c:f>'TC - résumé'!$B$3:$B$18</c:f>
              <c:numCache>
                <c:formatCode>_("$"* #,##0.00_);_("$"* \(#,##0.00\);_("$"* "-"??_);_(@_)</c:formatCode>
                <c:ptCount val="16"/>
                <c:pt idx="0">
                  <c:v>575.85555077116078</c:v>
                </c:pt>
                <c:pt idx="1">
                  <c:v>575.85555077116078</c:v>
                </c:pt>
                <c:pt idx="2">
                  <c:v>575.85555077116078</c:v>
                </c:pt>
                <c:pt idx="3">
                  <c:v>575.85555077116078</c:v>
                </c:pt>
                <c:pt idx="4">
                  <c:v>575.85555077116078</c:v>
                </c:pt>
                <c:pt idx="5">
                  <c:v>575.85555077116078</c:v>
                </c:pt>
                <c:pt idx="6">
                  <c:v>575.85555077116078</c:v>
                </c:pt>
                <c:pt idx="7">
                  <c:v>575.85555077116078</c:v>
                </c:pt>
                <c:pt idx="8">
                  <c:v>575.85555077116078</c:v>
                </c:pt>
                <c:pt idx="9">
                  <c:v>575.85555077116078</c:v>
                </c:pt>
                <c:pt idx="10">
                  <c:v>575.85555077116078</c:v>
                </c:pt>
                <c:pt idx="11">
                  <c:v>575.85555077116078</c:v>
                </c:pt>
                <c:pt idx="12">
                  <c:v>575.85555077116078</c:v>
                </c:pt>
                <c:pt idx="13">
                  <c:v>575.85555077116078</c:v>
                </c:pt>
                <c:pt idx="14">
                  <c:v>575.85555077116078</c:v>
                </c:pt>
                <c:pt idx="15">
                  <c:v>575.85555077116078</c:v>
                </c:pt>
              </c:numCache>
            </c:numRef>
          </c:val>
          <c:extLst>
            <c:ext xmlns:c16="http://schemas.microsoft.com/office/drawing/2014/chart" uri="{C3380CC4-5D6E-409C-BE32-E72D297353CC}">
              <c16:uniqueId val="{00000000-5F50-4940-A142-A9E5110A48A2}"/>
            </c:ext>
          </c:extLst>
        </c:ser>
        <c:ser>
          <c:idx val="1"/>
          <c:order val="1"/>
          <c:tx>
            <c:v>Coûts privés fixes</c:v>
          </c:tx>
          <c:spPr>
            <a:solidFill>
              <a:schemeClr val="accent2"/>
            </a:solidFill>
            <a:ln>
              <a:noFill/>
            </a:ln>
            <a:effectLst/>
          </c:spPr>
          <c:invertIfNegative val="0"/>
          <c:cat>
            <c:strRef>
              <c:f>'TC - résumé'!$A$3:$A$18</c:f>
              <c:strCache>
                <c:ptCount val="16"/>
                <c:pt idx="0">
                  <c:v>Agglomération de Montréal</c:v>
                </c:pt>
                <c:pt idx="1">
                  <c:v>Baie-D'Urfé</c:v>
                </c:pt>
                <c:pt idx="2">
                  <c:v>Beaconsfield, Quebec</c:v>
                </c:pt>
                <c:pt idx="3">
                  <c:v>Côte Saint-Luc</c:v>
                </c:pt>
                <c:pt idx="4">
                  <c:v>Dollard-des-Ormeaux</c:v>
                </c:pt>
                <c:pt idx="5">
                  <c:v>Dorval</c:v>
                </c:pt>
                <c:pt idx="6">
                  <c:v>Hampstead, Quebec</c:v>
                </c:pt>
                <c:pt idx="7">
                  <c:v>Kirkland, Quebec</c:v>
                </c:pt>
                <c:pt idx="8">
                  <c:v>Montreal</c:v>
                </c:pt>
                <c:pt idx="9">
                  <c:v>Montréal-Est, Quebec</c:v>
                </c:pt>
                <c:pt idx="10">
                  <c:v>Montreal West, Quebec</c:v>
                </c:pt>
                <c:pt idx="11">
                  <c:v>Mount Royal, Quebec</c:v>
                </c:pt>
                <c:pt idx="12">
                  <c:v>Pointe-Claire</c:v>
                </c:pt>
                <c:pt idx="13">
                  <c:v>Sainte-Anne-de-Bellevue</c:v>
                </c:pt>
                <c:pt idx="14">
                  <c:v>Senneville, Quebec</c:v>
                </c:pt>
                <c:pt idx="15">
                  <c:v>Westmount</c:v>
                </c:pt>
              </c:strCache>
            </c:strRef>
          </c:cat>
          <c:val>
            <c:numRef>
              <c:f>'TC - résumé'!$C$3:$C$18</c:f>
              <c:numCache>
                <c:formatCode>_("$"* #,##0.00_);_("$"* \(#,##0.00\);_("$"* "-"??_);_(@_)</c:formatCode>
                <c:ptCount val="16"/>
                <c:pt idx="0">
                  <c:v>3.3660695771362823</c:v>
                </c:pt>
                <c:pt idx="1">
                  <c:v>3.3660695771362823</c:v>
                </c:pt>
                <c:pt idx="2">
                  <c:v>3.3660695771362823</c:v>
                </c:pt>
                <c:pt idx="3">
                  <c:v>3.3660695771362823</c:v>
                </c:pt>
                <c:pt idx="4">
                  <c:v>3.3660695771362823</c:v>
                </c:pt>
                <c:pt idx="5">
                  <c:v>3.3660695771362823</c:v>
                </c:pt>
                <c:pt idx="6">
                  <c:v>3.3660695771362823</c:v>
                </c:pt>
                <c:pt idx="7">
                  <c:v>3.3660695771362823</c:v>
                </c:pt>
                <c:pt idx="8">
                  <c:v>3.3660695771362823</c:v>
                </c:pt>
                <c:pt idx="9">
                  <c:v>3.3660695771362823</c:v>
                </c:pt>
                <c:pt idx="10">
                  <c:v>3.3660695771362823</c:v>
                </c:pt>
                <c:pt idx="11">
                  <c:v>3.3660695771362823</c:v>
                </c:pt>
                <c:pt idx="12">
                  <c:v>3.3660695771362823</c:v>
                </c:pt>
                <c:pt idx="13">
                  <c:v>3.3660695771362823</c:v>
                </c:pt>
                <c:pt idx="14">
                  <c:v>3.3660695771362823</c:v>
                </c:pt>
                <c:pt idx="15">
                  <c:v>3.3660695771362823</c:v>
                </c:pt>
              </c:numCache>
            </c:numRef>
          </c:val>
          <c:extLst>
            <c:ext xmlns:c16="http://schemas.microsoft.com/office/drawing/2014/chart" uri="{C3380CC4-5D6E-409C-BE32-E72D297353CC}">
              <c16:uniqueId val="{00000001-5F50-4940-A142-A9E5110A48A2}"/>
            </c:ext>
          </c:extLst>
        </c:ser>
        <c:ser>
          <c:idx val="2"/>
          <c:order val="2"/>
          <c:tx>
            <c:v>Temps de déplacement</c:v>
          </c:tx>
          <c:spPr>
            <a:solidFill>
              <a:schemeClr val="accent3"/>
            </a:solidFill>
            <a:ln>
              <a:noFill/>
            </a:ln>
            <a:effectLst/>
          </c:spPr>
          <c:invertIfNegative val="0"/>
          <c:cat>
            <c:strRef>
              <c:f>'TC - résumé'!$A$3:$A$18</c:f>
              <c:strCache>
                <c:ptCount val="16"/>
                <c:pt idx="0">
                  <c:v>Agglomération de Montréal</c:v>
                </c:pt>
                <c:pt idx="1">
                  <c:v>Baie-D'Urfé</c:v>
                </c:pt>
                <c:pt idx="2">
                  <c:v>Beaconsfield, Quebec</c:v>
                </c:pt>
                <c:pt idx="3">
                  <c:v>Côte Saint-Luc</c:v>
                </c:pt>
                <c:pt idx="4">
                  <c:v>Dollard-des-Ormeaux</c:v>
                </c:pt>
                <c:pt idx="5">
                  <c:v>Dorval</c:v>
                </c:pt>
                <c:pt idx="6">
                  <c:v>Hampstead, Quebec</c:v>
                </c:pt>
                <c:pt idx="7">
                  <c:v>Kirkland, Quebec</c:v>
                </c:pt>
                <c:pt idx="8">
                  <c:v>Montreal</c:v>
                </c:pt>
                <c:pt idx="9">
                  <c:v>Montréal-Est, Quebec</c:v>
                </c:pt>
                <c:pt idx="10">
                  <c:v>Montreal West, Quebec</c:v>
                </c:pt>
                <c:pt idx="11">
                  <c:v>Mount Royal, Quebec</c:v>
                </c:pt>
                <c:pt idx="12">
                  <c:v>Pointe-Claire</c:v>
                </c:pt>
                <c:pt idx="13">
                  <c:v>Sainte-Anne-de-Bellevue</c:v>
                </c:pt>
                <c:pt idx="14">
                  <c:v>Senneville, Quebec</c:v>
                </c:pt>
                <c:pt idx="15">
                  <c:v>Westmount</c:v>
                </c:pt>
              </c:strCache>
            </c:strRef>
          </c:cat>
          <c:val>
            <c:numRef>
              <c:f>'TC - résumé'!$D$3:$D$18</c:f>
              <c:numCache>
                <c:formatCode>_("$"* #,##0.00_);_("$"* \(#,##0.00\);_("$"* "-"??_);_(@_)</c:formatCode>
                <c:ptCount val="16"/>
                <c:pt idx="0">
                  <c:v>4412.430117475833</c:v>
                </c:pt>
                <c:pt idx="1">
                  <c:v>6777.9820006922801</c:v>
                </c:pt>
                <c:pt idx="2">
                  <c:v>5455.7729342317834</c:v>
                </c:pt>
                <c:pt idx="3">
                  <c:v>4952.0649616624314</c:v>
                </c:pt>
                <c:pt idx="4">
                  <c:v>6280.4099901696172</c:v>
                </c:pt>
                <c:pt idx="5">
                  <c:v>5449.4086827778265</c:v>
                </c:pt>
                <c:pt idx="6">
                  <c:v>3825.5418495387912</c:v>
                </c:pt>
                <c:pt idx="7">
                  <c:v>6118.810785829327</c:v>
                </c:pt>
                <c:pt idx="8">
                  <c:v>4344.4425921306956</c:v>
                </c:pt>
                <c:pt idx="9">
                  <c:v>5636.3130870086952</c:v>
                </c:pt>
                <c:pt idx="10">
                  <c:v>4578.8098848218178</c:v>
                </c:pt>
                <c:pt idx="11">
                  <c:v>4459.8943341119884</c:v>
                </c:pt>
                <c:pt idx="12">
                  <c:v>5541.9806753010234</c:v>
                </c:pt>
                <c:pt idx="13">
                  <c:v>5834.12125821889</c:v>
                </c:pt>
                <c:pt idx="14">
                  <c:v>10707.09766052445</c:v>
                </c:pt>
                <c:pt idx="15">
                  <c:v>3355.2607801788363</c:v>
                </c:pt>
              </c:numCache>
            </c:numRef>
          </c:val>
          <c:extLst>
            <c:ext xmlns:c16="http://schemas.microsoft.com/office/drawing/2014/chart" uri="{C3380CC4-5D6E-409C-BE32-E72D297353CC}">
              <c16:uniqueId val="{00000002-5F50-4940-A142-A9E5110A48A2}"/>
            </c:ext>
          </c:extLst>
        </c:ser>
        <c:ser>
          <c:idx val="3"/>
          <c:order val="3"/>
          <c:tx>
            <c:v>Coûts publics</c:v>
          </c:tx>
          <c:spPr>
            <a:solidFill>
              <a:schemeClr val="accent4"/>
            </a:solidFill>
            <a:ln>
              <a:noFill/>
            </a:ln>
            <a:effectLst/>
          </c:spPr>
          <c:invertIfNegative val="0"/>
          <c:cat>
            <c:strRef>
              <c:f>'TC - résumé'!$A$3:$A$18</c:f>
              <c:strCache>
                <c:ptCount val="16"/>
                <c:pt idx="0">
                  <c:v>Agglomération de Montréal</c:v>
                </c:pt>
                <c:pt idx="1">
                  <c:v>Baie-D'Urfé</c:v>
                </c:pt>
                <c:pt idx="2">
                  <c:v>Beaconsfield, Quebec</c:v>
                </c:pt>
                <c:pt idx="3">
                  <c:v>Côte Saint-Luc</c:v>
                </c:pt>
                <c:pt idx="4">
                  <c:v>Dollard-des-Ormeaux</c:v>
                </c:pt>
                <c:pt idx="5">
                  <c:v>Dorval</c:v>
                </c:pt>
                <c:pt idx="6">
                  <c:v>Hampstead, Quebec</c:v>
                </c:pt>
                <c:pt idx="7">
                  <c:v>Kirkland, Quebec</c:v>
                </c:pt>
                <c:pt idx="8">
                  <c:v>Montreal</c:v>
                </c:pt>
                <c:pt idx="9">
                  <c:v>Montréal-Est, Quebec</c:v>
                </c:pt>
                <c:pt idx="10">
                  <c:v>Montreal West, Quebec</c:v>
                </c:pt>
                <c:pt idx="11">
                  <c:v>Mount Royal, Quebec</c:v>
                </c:pt>
                <c:pt idx="12">
                  <c:v>Pointe-Claire</c:v>
                </c:pt>
                <c:pt idx="13">
                  <c:v>Sainte-Anne-de-Bellevue</c:v>
                </c:pt>
                <c:pt idx="14">
                  <c:v>Senneville, Quebec</c:v>
                </c:pt>
                <c:pt idx="15">
                  <c:v>Westmount</c:v>
                </c:pt>
              </c:strCache>
            </c:strRef>
          </c:cat>
          <c:val>
            <c:numRef>
              <c:f>'TC - résumé'!$E$3:$E$18</c:f>
              <c:numCache>
                <c:formatCode>_("$"* #,##0.00_);_("$"* \(#,##0.00\);_("$"* "-"??_);_(@_)</c:formatCode>
                <c:ptCount val="16"/>
                <c:pt idx="0">
                  <c:v>2543.3237772488224</c:v>
                </c:pt>
                <c:pt idx="1">
                  <c:v>5988.5582368519463</c:v>
                </c:pt>
                <c:pt idx="2">
                  <c:v>2628.578059091361</c:v>
                </c:pt>
                <c:pt idx="3">
                  <c:v>2336.0431925765251</c:v>
                </c:pt>
                <c:pt idx="4">
                  <c:v>2559.2741082654525</c:v>
                </c:pt>
                <c:pt idx="5">
                  <c:v>4860.0549296753543</c:v>
                </c:pt>
                <c:pt idx="6">
                  <c:v>2712.598044430727</c:v>
                </c:pt>
                <c:pt idx="7">
                  <c:v>3375.6894736131371</c:v>
                </c:pt>
                <c:pt idx="8">
                  <c:v>2482.0274814212876</c:v>
                </c:pt>
                <c:pt idx="9">
                  <c:v>1921.3151906980374</c:v>
                </c:pt>
                <c:pt idx="10">
                  <c:v>2637.0434464737637</c:v>
                </c:pt>
                <c:pt idx="11">
                  <c:v>3663.5942307754922</c:v>
                </c:pt>
                <c:pt idx="12">
                  <c:v>4050.8130714052841</c:v>
                </c:pt>
                <c:pt idx="13">
                  <c:v>3316.3502055417612</c:v>
                </c:pt>
                <c:pt idx="14">
                  <c:v>5589.150549155137</c:v>
                </c:pt>
                <c:pt idx="15">
                  <c:v>4351.2296572155719</c:v>
                </c:pt>
              </c:numCache>
            </c:numRef>
          </c:val>
          <c:extLst>
            <c:ext xmlns:c16="http://schemas.microsoft.com/office/drawing/2014/chart" uri="{C3380CC4-5D6E-409C-BE32-E72D297353CC}">
              <c16:uniqueId val="{00000003-5F50-4940-A142-A9E5110A48A2}"/>
            </c:ext>
          </c:extLst>
        </c:ser>
        <c:ser>
          <c:idx val="4"/>
          <c:order val="4"/>
          <c:tx>
            <c:v>Externalités négatives</c:v>
          </c:tx>
          <c:spPr>
            <a:solidFill>
              <a:schemeClr val="accent5"/>
            </a:solidFill>
            <a:ln>
              <a:noFill/>
            </a:ln>
            <a:effectLst/>
          </c:spPr>
          <c:invertIfNegative val="0"/>
          <c:cat>
            <c:strRef>
              <c:f>'TC - résumé'!$A$3:$A$18</c:f>
              <c:strCache>
                <c:ptCount val="16"/>
                <c:pt idx="0">
                  <c:v>Agglomération de Montréal</c:v>
                </c:pt>
                <c:pt idx="1">
                  <c:v>Baie-D'Urfé</c:v>
                </c:pt>
                <c:pt idx="2">
                  <c:v>Beaconsfield, Quebec</c:v>
                </c:pt>
                <c:pt idx="3">
                  <c:v>Côte Saint-Luc</c:v>
                </c:pt>
                <c:pt idx="4">
                  <c:v>Dollard-des-Ormeaux</c:v>
                </c:pt>
                <c:pt idx="5">
                  <c:v>Dorval</c:v>
                </c:pt>
                <c:pt idx="6">
                  <c:v>Hampstead, Quebec</c:v>
                </c:pt>
                <c:pt idx="7">
                  <c:v>Kirkland, Quebec</c:v>
                </c:pt>
                <c:pt idx="8">
                  <c:v>Montreal</c:v>
                </c:pt>
                <c:pt idx="9">
                  <c:v>Montréal-Est, Quebec</c:v>
                </c:pt>
                <c:pt idx="10">
                  <c:v>Montreal West, Quebec</c:v>
                </c:pt>
                <c:pt idx="11">
                  <c:v>Mount Royal, Quebec</c:v>
                </c:pt>
                <c:pt idx="12">
                  <c:v>Pointe-Claire</c:v>
                </c:pt>
                <c:pt idx="13">
                  <c:v>Sainte-Anne-de-Bellevue</c:v>
                </c:pt>
                <c:pt idx="14">
                  <c:v>Senneville, Quebec</c:v>
                </c:pt>
                <c:pt idx="15">
                  <c:v>Westmount</c:v>
                </c:pt>
              </c:strCache>
            </c:strRef>
          </c:cat>
          <c:val>
            <c:numRef>
              <c:f>'TC - résumé'!$F$3:$F$18</c:f>
              <c:numCache>
                <c:formatCode>_("$"* #,##0.00_);_("$"* \(#,##0.00\);_("$"* "-"??_);_(@_)</c:formatCode>
                <c:ptCount val="16"/>
                <c:pt idx="0">
                  <c:v>433.14535281484575</c:v>
                </c:pt>
                <c:pt idx="1">
                  <c:v>333.94831316485124</c:v>
                </c:pt>
                <c:pt idx="2">
                  <c:v>282.21387551839905</c:v>
                </c:pt>
                <c:pt idx="3">
                  <c:v>324.02446093476772</c:v>
                </c:pt>
                <c:pt idx="4">
                  <c:v>277.56833431207338</c:v>
                </c:pt>
                <c:pt idx="5">
                  <c:v>344.56960967165958</c:v>
                </c:pt>
                <c:pt idx="6">
                  <c:v>1026.2595354967029</c:v>
                </c:pt>
                <c:pt idx="7">
                  <c:v>291.68462645345699</c:v>
                </c:pt>
                <c:pt idx="8">
                  <c:v>425.15013264987056</c:v>
                </c:pt>
                <c:pt idx="9">
                  <c:v>273.2495295733388</c:v>
                </c:pt>
                <c:pt idx="10">
                  <c:v>775.01528275060002</c:v>
                </c:pt>
                <c:pt idx="11">
                  <c:v>1014.2845866083092</c:v>
                </c:pt>
                <c:pt idx="12">
                  <c:v>397.19386745020006</c:v>
                </c:pt>
                <c:pt idx="13">
                  <c:v>204.61747570947719</c:v>
                </c:pt>
                <c:pt idx="14">
                  <c:v>169.85714167635712</c:v>
                </c:pt>
                <c:pt idx="15">
                  <c:v>1282.8906809755103</c:v>
                </c:pt>
              </c:numCache>
            </c:numRef>
          </c:val>
          <c:extLst>
            <c:ext xmlns:c16="http://schemas.microsoft.com/office/drawing/2014/chart" uri="{C3380CC4-5D6E-409C-BE32-E72D297353CC}">
              <c16:uniqueId val="{00000004-5F50-4940-A142-A9E5110A48A2}"/>
            </c:ext>
          </c:extLst>
        </c:ser>
        <c:ser>
          <c:idx val="5"/>
          <c:order val="5"/>
          <c:tx>
            <c:v>Bénéfice santé</c:v>
          </c:tx>
          <c:spPr>
            <a:solidFill>
              <a:schemeClr val="accent6"/>
            </a:solidFill>
            <a:ln>
              <a:noFill/>
            </a:ln>
            <a:effectLst/>
          </c:spPr>
          <c:invertIfNegative val="0"/>
          <c:cat>
            <c:strRef>
              <c:f>'TC - résumé'!$A$3:$A$18</c:f>
              <c:strCache>
                <c:ptCount val="16"/>
                <c:pt idx="0">
                  <c:v>Agglomération de Montréal</c:v>
                </c:pt>
                <c:pt idx="1">
                  <c:v>Baie-D'Urfé</c:v>
                </c:pt>
                <c:pt idx="2">
                  <c:v>Beaconsfield, Quebec</c:v>
                </c:pt>
                <c:pt idx="3">
                  <c:v>Côte Saint-Luc</c:v>
                </c:pt>
                <c:pt idx="4">
                  <c:v>Dollard-des-Ormeaux</c:v>
                </c:pt>
                <c:pt idx="5">
                  <c:v>Dorval</c:v>
                </c:pt>
                <c:pt idx="6">
                  <c:v>Hampstead, Quebec</c:v>
                </c:pt>
                <c:pt idx="7">
                  <c:v>Kirkland, Quebec</c:v>
                </c:pt>
                <c:pt idx="8">
                  <c:v>Montreal</c:v>
                </c:pt>
                <c:pt idx="9">
                  <c:v>Montréal-Est, Quebec</c:v>
                </c:pt>
                <c:pt idx="10">
                  <c:v>Montreal West, Quebec</c:v>
                </c:pt>
                <c:pt idx="11">
                  <c:v>Mount Royal, Quebec</c:v>
                </c:pt>
                <c:pt idx="12">
                  <c:v>Pointe-Claire</c:v>
                </c:pt>
                <c:pt idx="13">
                  <c:v>Sainte-Anne-de-Bellevue</c:v>
                </c:pt>
                <c:pt idx="14">
                  <c:v>Senneville, Quebec</c:v>
                </c:pt>
                <c:pt idx="15">
                  <c:v>Westmount</c:v>
                </c:pt>
              </c:strCache>
            </c:strRef>
          </c:cat>
          <c:val>
            <c:numRef>
              <c:f>'TC - résumé'!$G$3:$G$18</c:f>
              <c:numCache>
                <c:formatCode>_("$"* #,##0.00_);_("$"* \(#,##0.00\);_("$"* "-"??_);_(@_)</c:formatCode>
                <c:ptCount val="16"/>
                <c:pt idx="0">
                  <c:v>-527.58383061384006</c:v>
                </c:pt>
                <c:pt idx="1">
                  <c:v>-527.58383061384006</c:v>
                </c:pt>
                <c:pt idx="2">
                  <c:v>-527.58383061384006</c:v>
                </c:pt>
                <c:pt idx="3">
                  <c:v>-527.58383061384006</c:v>
                </c:pt>
                <c:pt idx="4">
                  <c:v>-527.58383061384006</c:v>
                </c:pt>
                <c:pt idx="5">
                  <c:v>-527.58383061384006</c:v>
                </c:pt>
                <c:pt idx="6">
                  <c:v>-527.58383061384006</c:v>
                </c:pt>
                <c:pt idx="7">
                  <c:v>-527.58383061384006</c:v>
                </c:pt>
                <c:pt idx="8">
                  <c:v>-527.58383061384006</c:v>
                </c:pt>
                <c:pt idx="9">
                  <c:v>-527.58383061384006</c:v>
                </c:pt>
                <c:pt idx="10">
                  <c:v>-527.58383061384006</c:v>
                </c:pt>
                <c:pt idx="11">
                  <c:v>-527.58383061384006</c:v>
                </c:pt>
                <c:pt idx="12">
                  <c:v>-527.58383061384006</c:v>
                </c:pt>
                <c:pt idx="13">
                  <c:v>-527.58383061384006</c:v>
                </c:pt>
                <c:pt idx="14">
                  <c:v>-527.58383061384006</c:v>
                </c:pt>
                <c:pt idx="15">
                  <c:v>-527.58383061384006</c:v>
                </c:pt>
              </c:numCache>
            </c:numRef>
          </c:val>
          <c:extLst>
            <c:ext xmlns:c16="http://schemas.microsoft.com/office/drawing/2014/chart" uri="{C3380CC4-5D6E-409C-BE32-E72D297353CC}">
              <c16:uniqueId val="{00000005-5F50-4940-A142-A9E5110A48A2}"/>
            </c:ext>
          </c:extLst>
        </c:ser>
        <c:dLbls>
          <c:showLegendKey val="0"/>
          <c:showVal val="0"/>
          <c:showCatName val="0"/>
          <c:showSerName val="0"/>
          <c:showPercent val="0"/>
          <c:showBubbleSize val="0"/>
        </c:dLbls>
        <c:gapWidth val="150"/>
        <c:overlap val="100"/>
        <c:axId val="1373809488"/>
        <c:axId val="1480909600"/>
      </c:barChart>
      <c:catAx>
        <c:axId val="13738094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80909600"/>
        <c:crosses val="autoZero"/>
        <c:auto val="1"/>
        <c:lblAlgn val="ctr"/>
        <c:lblOffset val="100"/>
        <c:noMultiLvlLbl val="0"/>
      </c:catAx>
      <c:valAx>
        <c:axId val="1480909600"/>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00_);_(&quot;$&quot;* \(#,##0.0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7380948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Distribution</a:t>
            </a:r>
            <a:r>
              <a:rPr lang="en-US" baseline="0"/>
              <a:t> des coûts totaux par arrondissement</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v>Utilisation</c:v>
          </c:tx>
          <c:spPr>
            <a:solidFill>
              <a:schemeClr val="accent1"/>
            </a:solidFill>
            <a:ln>
              <a:noFill/>
            </a:ln>
            <a:effectLst/>
          </c:spPr>
          <c:invertIfNegative val="0"/>
          <c:cat>
            <c:strRef>
              <c:f>'TC - résumé'!$A$20:$A$38</c:f>
              <c:strCache>
                <c:ptCount val="19"/>
                <c:pt idx="0">
                  <c:v>Ahuntsic-Cartierville</c:v>
                </c:pt>
                <c:pt idx="1">
                  <c:v>Anjou, Quebec</c:v>
                </c:pt>
                <c:pt idx="2">
                  <c:v>Côte-des-Neiges–Notre-Dame-de-Grâce</c:v>
                </c:pt>
                <c:pt idx="3">
                  <c:v>L'Île-Bizard–Sainte-Geneviève</c:v>
                </c:pt>
                <c:pt idx="4">
                  <c:v>Lachine, Quebec</c:v>
                </c:pt>
                <c:pt idx="5">
                  <c:v>LaSalle, Quebec</c:v>
                </c:pt>
                <c:pt idx="6">
                  <c:v>Mercier–Hochelaga-Maisonneuve</c:v>
                </c:pt>
                <c:pt idx="7">
                  <c:v>Montréal-Nord</c:v>
                </c:pt>
                <c:pt idx="8">
                  <c:v>Outremont, Quebec</c:v>
                </c:pt>
                <c:pt idx="9">
                  <c:v>Pierrefonds-Roxboro</c:v>
                </c:pt>
                <c:pt idx="10">
                  <c:v>Le Plateau-Mont-Royal</c:v>
                </c:pt>
                <c:pt idx="11">
                  <c:v>Rivière-des-Prairies–Pointe-aux-Trembles</c:v>
                </c:pt>
                <c:pt idx="12">
                  <c:v>Rosemont–La Petite-Patrie</c:v>
                </c:pt>
                <c:pt idx="13">
                  <c:v>Saint-Laurent, Quebec</c:v>
                </c:pt>
                <c:pt idx="14">
                  <c:v>Saint-Leonard, Quebec</c:v>
                </c:pt>
                <c:pt idx="15">
                  <c:v>Le Sud-Ouest</c:v>
                </c:pt>
                <c:pt idx="16">
                  <c:v>Verdun, Quebec</c:v>
                </c:pt>
                <c:pt idx="17">
                  <c:v>Ville-Marie, Montreal</c:v>
                </c:pt>
                <c:pt idx="18">
                  <c:v>Villeray–Saint-Michel–Parc-Extension</c:v>
                </c:pt>
              </c:strCache>
            </c:strRef>
          </c:cat>
          <c:val>
            <c:numRef>
              <c:f>'TC - résumé'!$B$20:$B$38</c:f>
              <c:numCache>
                <c:formatCode>_("$"* #,##0.00_);_("$"* \(#,##0.00\);_("$"* "-"??_);_(@_)</c:formatCode>
                <c:ptCount val="19"/>
                <c:pt idx="0">
                  <c:v>575.85555077116078</c:v>
                </c:pt>
                <c:pt idx="1">
                  <c:v>575.85555077116078</c:v>
                </c:pt>
                <c:pt idx="2">
                  <c:v>575.85555077116078</c:v>
                </c:pt>
                <c:pt idx="3">
                  <c:v>575.85555077116078</c:v>
                </c:pt>
                <c:pt idx="4">
                  <c:v>575.85555077116078</c:v>
                </c:pt>
                <c:pt idx="5">
                  <c:v>575.85555077116078</c:v>
                </c:pt>
                <c:pt idx="6">
                  <c:v>575.85555077116078</c:v>
                </c:pt>
                <c:pt idx="7">
                  <c:v>575.85555077116078</c:v>
                </c:pt>
                <c:pt idx="8">
                  <c:v>575.85555077116078</c:v>
                </c:pt>
                <c:pt idx="9">
                  <c:v>575.85555077116078</c:v>
                </c:pt>
                <c:pt idx="10">
                  <c:v>575.85555077116078</c:v>
                </c:pt>
                <c:pt idx="11">
                  <c:v>575.85555077116078</c:v>
                </c:pt>
                <c:pt idx="12">
                  <c:v>575.85555077116078</c:v>
                </c:pt>
                <c:pt idx="13">
                  <c:v>575.85555077116078</c:v>
                </c:pt>
                <c:pt idx="14">
                  <c:v>575.85555077116078</c:v>
                </c:pt>
                <c:pt idx="15">
                  <c:v>575.85555077116078</c:v>
                </c:pt>
                <c:pt idx="16">
                  <c:v>575.85555077116078</c:v>
                </c:pt>
                <c:pt idx="17">
                  <c:v>575.85555077116078</c:v>
                </c:pt>
                <c:pt idx="18">
                  <c:v>575.85555077116078</c:v>
                </c:pt>
              </c:numCache>
            </c:numRef>
          </c:val>
          <c:extLst>
            <c:ext xmlns:c16="http://schemas.microsoft.com/office/drawing/2014/chart" uri="{C3380CC4-5D6E-409C-BE32-E72D297353CC}">
              <c16:uniqueId val="{00000000-BBDB-D946-A24A-4650C23FF359}"/>
            </c:ext>
          </c:extLst>
        </c:ser>
        <c:ser>
          <c:idx val="1"/>
          <c:order val="1"/>
          <c:tx>
            <c:v>Coûts fixes privés</c:v>
          </c:tx>
          <c:spPr>
            <a:solidFill>
              <a:schemeClr val="accent2"/>
            </a:solidFill>
            <a:ln>
              <a:noFill/>
            </a:ln>
            <a:effectLst/>
          </c:spPr>
          <c:invertIfNegative val="0"/>
          <c:cat>
            <c:strRef>
              <c:f>'TC - résumé'!$A$20:$A$38</c:f>
              <c:strCache>
                <c:ptCount val="19"/>
                <c:pt idx="0">
                  <c:v>Ahuntsic-Cartierville</c:v>
                </c:pt>
                <c:pt idx="1">
                  <c:v>Anjou, Quebec</c:v>
                </c:pt>
                <c:pt idx="2">
                  <c:v>Côte-des-Neiges–Notre-Dame-de-Grâce</c:v>
                </c:pt>
                <c:pt idx="3">
                  <c:v>L'Île-Bizard–Sainte-Geneviève</c:v>
                </c:pt>
                <c:pt idx="4">
                  <c:v>Lachine, Quebec</c:v>
                </c:pt>
                <c:pt idx="5">
                  <c:v>LaSalle, Quebec</c:v>
                </c:pt>
                <c:pt idx="6">
                  <c:v>Mercier–Hochelaga-Maisonneuve</c:v>
                </c:pt>
                <c:pt idx="7">
                  <c:v>Montréal-Nord</c:v>
                </c:pt>
                <c:pt idx="8">
                  <c:v>Outremont, Quebec</c:v>
                </c:pt>
                <c:pt idx="9">
                  <c:v>Pierrefonds-Roxboro</c:v>
                </c:pt>
                <c:pt idx="10">
                  <c:v>Le Plateau-Mont-Royal</c:v>
                </c:pt>
                <c:pt idx="11">
                  <c:v>Rivière-des-Prairies–Pointe-aux-Trembles</c:v>
                </c:pt>
                <c:pt idx="12">
                  <c:v>Rosemont–La Petite-Patrie</c:v>
                </c:pt>
                <c:pt idx="13">
                  <c:v>Saint-Laurent, Quebec</c:v>
                </c:pt>
                <c:pt idx="14">
                  <c:v>Saint-Leonard, Quebec</c:v>
                </c:pt>
                <c:pt idx="15">
                  <c:v>Le Sud-Ouest</c:v>
                </c:pt>
                <c:pt idx="16">
                  <c:v>Verdun, Quebec</c:v>
                </c:pt>
                <c:pt idx="17">
                  <c:v>Ville-Marie, Montreal</c:v>
                </c:pt>
                <c:pt idx="18">
                  <c:v>Villeray–Saint-Michel–Parc-Extension</c:v>
                </c:pt>
              </c:strCache>
            </c:strRef>
          </c:cat>
          <c:val>
            <c:numRef>
              <c:f>'TC - résumé'!$C$20:$C$38</c:f>
              <c:numCache>
                <c:formatCode>_("$"* #,##0.00_);_("$"* \(#,##0.00\);_("$"* "-"??_);_(@_)</c:formatCode>
                <c:ptCount val="19"/>
                <c:pt idx="0">
                  <c:v>3.3660695771362823</c:v>
                </c:pt>
                <c:pt idx="1">
                  <c:v>3.3660695771362823</c:v>
                </c:pt>
                <c:pt idx="2">
                  <c:v>3.3660695771362823</c:v>
                </c:pt>
                <c:pt idx="3">
                  <c:v>3.3660695771362823</c:v>
                </c:pt>
                <c:pt idx="4">
                  <c:v>3.3660695771362823</c:v>
                </c:pt>
                <c:pt idx="5">
                  <c:v>3.3660695771362823</c:v>
                </c:pt>
                <c:pt idx="6">
                  <c:v>3.3660695771362823</c:v>
                </c:pt>
                <c:pt idx="7">
                  <c:v>3.3660695771362823</c:v>
                </c:pt>
                <c:pt idx="8">
                  <c:v>3.3660695771362823</c:v>
                </c:pt>
                <c:pt idx="9">
                  <c:v>3.3660695771362823</c:v>
                </c:pt>
                <c:pt idx="10">
                  <c:v>3.3660695771362823</c:v>
                </c:pt>
                <c:pt idx="11">
                  <c:v>3.3660695771362823</c:v>
                </c:pt>
                <c:pt idx="12">
                  <c:v>3.3660695771362823</c:v>
                </c:pt>
                <c:pt idx="13">
                  <c:v>3.3660695771362823</c:v>
                </c:pt>
                <c:pt idx="14">
                  <c:v>3.3660695771362823</c:v>
                </c:pt>
                <c:pt idx="15">
                  <c:v>3.3660695771362823</c:v>
                </c:pt>
                <c:pt idx="16">
                  <c:v>3.3660695771362823</c:v>
                </c:pt>
                <c:pt idx="17">
                  <c:v>3.3660695771362823</c:v>
                </c:pt>
                <c:pt idx="18">
                  <c:v>3.3660695771362823</c:v>
                </c:pt>
              </c:numCache>
            </c:numRef>
          </c:val>
          <c:extLst>
            <c:ext xmlns:c16="http://schemas.microsoft.com/office/drawing/2014/chart" uri="{C3380CC4-5D6E-409C-BE32-E72D297353CC}">
              <c16:uniqueId val="{00000001-BBDB-D946-A24A-4650C23FF359}"/>
            </c:ext>
          </c:extLst>
        </c:ser>
        <c:ser>
          <c:idx val="2"/>
          <c:order val="2"/>
          <c:tx>
            <c:v>Temps de déplacement</c:v>
          </c:tx>
          <c:spPr>
            <a:solidFill>
              <a:schemeClr val="accent3"/>
            </a:solidFill>
            <a:ln>
              <a:noFill/>
            </a:ln>
            <a:effectLst/>
          </c:spPr>
          <c:invertIfNegative val="0"/>
          <c:cat>
            <c:strRef>
              <c:f>'TC - résumé'!$A$20:$A$38</c:f>
              <c:strCache>
                <c:ptCount val="19"/>
                <c:pt idx="0">
                  <c:v>Ahuntsic-Cartierville</c:v>
                </c:pt>
                <c:pt idx="1">
                  <c:v>Anjou, Quebec</c:v>
                </c:pt>
                <c:pt idx="2">
                  <c:v>Côte-des-Neiges–Notre-Dame-de-Grâce</c:v>
                </c:pt>
                <c:pt idx="3">
                  <c:v>L'Île-Bizard–Sainte-Geneviève</c:v>
                </c:pt>
                <c:pt idx="4">
                  <c:v>Lachine, Quebec</c:v>
                </c:pt>
                <c:pt idx="5">
                  <c:v>LaSalle, Quebec</c:v>
                </c:pt>
                <c:pt idx="6">
                  <c:v>Mercier–Hochelaga-Maisonneuve</c:v>
                </c:pt>
                <c:pt idx="7">
                  <c:v>Montréal-Nord</c:v>
                </c:pt>
                <c:pt idx="8">
                  <c:v>Outremont, Quebec</c:v>
                </c:pt>
                <c:pt idx="9">
                  <c:v>Pierrefonds-Roxboro</c:v>
                </c:pt>
                <c:pt idx="10">
                  <c:v>Le Plateau-Mont-Royal</c:v>
                </c:pt>
                <c:pt idx="11">
                  <c:v>Rivière-des-Prairies–Pointe-aux-Trembles</c:v>
                </c:pt>
                <c:pt idx="12">
                  <c:v>Rosemont–La Petite-Patrie</c:v>
                </c:pt>
                <c:pt idx="13">
                  <c:v>Saint-Laurent, Quebec</c:v>
                </c:pt>
                <c:pt idx="14">
                  <c:v>Saint-Leonard, Quebec</c:v>
                </c:pt>
                <c:pt idx="15">
                  <c:v>Le Sud-Ouest</c:v>
                </c:pt>
                <c:pt idx="16">
                  <c:v>Verdun, Quebec</c:v>
                </c:pt>
                <c:pt idx="17">
                  <c:v>Ville-Marie, Montreal</c:v>
                </c:pt>
                <c:pt idx="18">
                  <c:v>Villeray–Saint-Michel–Parc-Extension</c:v>
                </c:pt>
              </c:strCache>
            </c:strRef>
          </c:cat>
          <c:val>
            <c:numRef>
              <c:f>'TC - résumé'!$D$20:$D$38</c:f>
              <c:numCache>
                <c:formatCode>_("$"* #,##0.00_);_("$"* \(#,##0.00\);_("$"* "-"??_);_(@_)</c:formatCode>
                <c:ptCount val="19"/>
                <c:pt idx="0">
                  <c:v>4677.1141659896502</c:v>
                </c:pt>
                <c:pt idx="1">
                  <c:v>5021.209949677961</c:v>
                </c:pt>
                <c:pt idx="2">
                  <c:v>3824.2513685953727</c:v>
                </c:pt>
                <c:pt idx="3">
                  <c:v>6813.3240884105717</c:v>
                </c:pt>
                <c:pt idx="4">
                  <c:v>5213.1686654181285</c:v>
                </c:pt>
                <c:pt idx="5">
                  <c:v>5136.4022003921427</c:v>
                </c:pt>
                <c:pt idx="6">
                  <c:v>4313.7528133915603</c:v>
                </c:pt>
                <c:pt idx="7">
                  <c:v>5268.9176931840393</c:v>
                </c:pt>
                <c:pt idx="8">
                  <c:v>3198.6415029045047</c:v>
                </c:pt>
                <c:pt idx="9">
                  <c:v>7078.6535396639065</c:v>
                </c:pt>
                <c:pt idx="10">
                  <c:v>3573.8375171197886</c:v>
                </c:pt>
                <c:pt idx="11">
                  <c:v>5977.7280303818825</c:v>
                </c:pt>
                <c:pt idx="12">
                  <c:v>4020.5161441120663</c:v>
                </c:pt>
                <c:pt idx="13">
                  <c:v>4781.423498403954</c:v>
                </c:pt>
                <c:pt idx="14">
                  <c:v>4795.9303343690781</c:v>
                </c:pt>
                <c:pt idx="15">
                  <c:v>3704.4488864246619</c:v>
                </c:pt>
                <c:pt idx="16">
                  <c:v>4332.1273569914783</c:v>
                </c:pt>
                <c:pt idx="17">
                  <c:v>3292.659316514505</c:v>
                </c:pt>
                <c:pt idx="18">
                  <c:v>4058.4711081503874</c:v>
                </c:pt>
              </c:numCache>
            </c:numRef>
          </c:val>
          <c:extLst>
            <c:ext xmlns:c16="http://schemas.microsoft.com/office/drawing/2014/chart" uri="{C3380CC4-5D6E-409C-BE32-E72D297353CC}">
              <c16:uniqueId val="{00000002-BBDB-D946-A24A-4650C23FF359}"/>
            </c:ext>
          </c:extLst>
        </c:ser>
        <c:ser>
          <c:idx val="3"/>
          <c:order val="3"/>
          <c:tx>
            <c:v>Coûts publics</c:v>
          </c:tx>
          <c:spPr>
            <a:solidFill>
              <a:schemeClr val="accent4"/>
            </a:solidFill>
            <a:ln>
              <a:noFill/>
            </a:ln>
            <a:effectLst/>
          </c:spPr>
          <c:invertIfNegative val="0"/>
          <c:cat>
            <c:strRef>
              <c:f>'TC - résumé'!$A$20:$A$38</c:f>
              <c:strCache>
                <c:ptCount val="19"/>
                <c:pt idx="0">
                  <c:v>Ahuntsic-Cartierville</c:v>
                </c:pt>
                <c:pt idx="1">
                  <c:v>Anjou, Quebec</c:v>
                </c:pt>
                <c:pt idx="2">
                  <c:v>Côte-des-Neiges–Notre-Dame-de-Grâce</c:v>
                </c:pt>
                <c:pt idx="3">
                  <c:v>L'Île-Bizard–Sainte-Geneviève</c:v>
                </c:pt>
                <c:pt idx="4">
                  <c:v>Lachine, Quebec</c:v>
                </c:pt>
                <c:pt idx="5">
                  <c:v>LaSalle, Quebec</c:v>
                </c:pt>
                <c:pt idx="6">
                  <c:v>Mercier–Hochelaga-Maisonneuve</c:v>
                </c:pt>
                <c:pt idx="7">
                  <c:v>Montréal-Nord</c:v>
                </c:pt>
                <c:pt idx="8">
                  <c:v>Outremont, Quebec</c:v>
                </c:pt>
                <c:pt idx="9">
                  <c:v>Pierrefonds-Roxboro</c:v>
                </c:pt>
                <c:pt idx="10">
                  <c:v>Le Plateau-Mont-Royal</c:v>
                </c:pt>
                <c:pt idx="11">
                  <c:v>Rivière-des-Prairies–Pointe-aux-Trembles</c:v>
                </c:pt>
                <c:pt idx="12">
                  <c:v>Rosemont–La Petite-Patrie</c:v>
                </c:pt>
                <c:pt idx="13">
                  <c:v>Saint-Laurent, Quebec</c:v>
                </c:pt>
                <c:pt idx="14">
                  <c:v>Saint-Leonard, Quebec</c:v>
                </c:pt>
                <c:pt idx="15">
                  <c:v>Le Sud-Ouest</c:v>
                </c:pt>
                <c:pt idx="16">
                  <c:v>Verdun, Quebec</c:v>
                </c:pt>
                <c:pt idx="17">
                  <c:v>Ville-Marie, Montreal</c:v>
                </c:pt>
                <c:pt idx="18">
                  <c:v>Villeray–Saint-Michel–Parc-Extension</c:v>
                </c:pt>
              </c:strCache>
            </c:strRef>
          </c:cat>
          <c:val>
            <c:numRef>
              <c:f>'TC - résumé'!$E$20:$E$38</c:f>
              <c:numCache>
                <c:formatCode>_("$"* #,##0.00_);_("$"* \(#,##0.00\);_("$"* "-"??_);_(@_)</c:formatCode>
                <c:ptCount val="19"/>
                <c:pt idx="0">
                  <c:v>2455.1037871592116</c:v>
                </c:pt>
                <c:pt idx="1">
                  <c:v>2519.925628331629</c:v>
                </c:pt>
                <c:pt idx="2">
                  <c:v>2435.0869498058833</c:v>
                </c:pt>
                <c:pt idx="3">
                  <c:v>2542.0644378314214</c:v>
                </c:pt>
                <c:pt idx="4">
                  <c:v>2518.1799108885639</c:v>
                </c:pt>
                <c:pt idx="5">
                  <c:v>2505.3394245932059</c:v>
                </c:pt>
                <c:pt idx="6">
                  <c:v>2436.8636690360845</c:v>
                </c:pt>
                <c:pt idx="7">
                  <c:v>2460.2320403006584</c:v>
                </c:pt>
                <c:pt idx="8">
                  <c:v>2459.616640847576</c:v>
                </c:pt>
                <c:pt idx="9">
                  <c:v>2499.3916092355498</c:v>
                </c:pt>
                <c:pt idx="10">
                  <c:v>2436.7190073709448</c:v>
                </c:pt>
                <c:pt idx="11">
                  <c:v>2489.0642318122514</c:v>
                </c:pt>
                <c:pt idx="12">
                  <c:v>2439.9007498529991</c:v>
                </c:pt>
                <c:pt idx="13">
                  <c:v>2505.1574381442852</c:v>
                </c:pt>
                <c:pt idx="14">
                  <c:v>2473.4314133668904</c:v>
                </c:pt>
                <c:pt idx="15">
                  <c:v>2484.6154179788828</c:v>
                </c:pt>
                <c:pt idx="16">
                  <c:v>2442.6059360012046</c:v>
                </c:pt>
                <c:pt idx="17">
                  <c:v>2782.0877083344826</c:v>
                </c:pt>
                <c:pt idx="18">
                  <c:v>2426.7935037918874</c:v>
                </c:pt>
              </c:numCache>
            </c:numRef>
          </c:val>
          <c:extLst>
            <c:ext xmlns:c16="http://schemas.microsoft.com/office/drawing/2014/chart" uri="{C3380CC4-5D6E-409C-BE32-E72D297353CC}">
              <c16:uniqueId val="{00000003-BBDB-D946-A24A-4650C23FF359}"/>
            </c:ext>
          </c:extLst>
        </c:ser>
        <c:ser>
          <c:idx val="4"/>
          <c:order val="4"/>
          <c:tx>
            <c:v>Externalités négatives</c:v>
          </c:tx>
          <c:spPr>
            <a:solidFill>
              <a:schemeClr val="accent5"/>
            </a:solidFill>
            <a:ln>
              <a:noFill/>
            </a:ln>
            <a:effectLst/>
          </c:spPr>
          <c:invertIfNegative val="0"/>
          <c:cat>
            <c:strRef>
              <c:f>'TC - résumé'!$A$20:$A$38</c:f>
              <c:strCache>
                <c:ptCount val="19"/>
                <c:pt idx="0">
                  <c:v>Ahuntsic-Cartierville</c:v>
                </c:pt>
                <c:pt idx="1">
                  <c:v>Anjou, Quebec</c:v>
                </c:pt>
                <c:pt idx="2">
                  <c:v>Côte-des-Neiges–Notre-Dame-de-Grâce</c:v>
                </c:pt>
                <c:pt idx="3">
                  <c:v>L'Île-Bizard–Sainte-Geneviève</c:v>
                </c:pt>
                <c:pt idx="4">
                  <c:v>Lachine, Quebec</c:v>
                </c:pt>
                <c:pt idx="5">
                  <c:v>LaSalle, Quebec</c:v>
                </c:pt>
                <c:pt idx="6">
                  <c:v>Mercier–Hochelaga-Maisonneuve</c:v>
                </c:pt>
                <c:pt idx="7">
                  <c:v>Montréal-Nord</c:v>
                </c:pt>
                <c:pt idx="8">
                  <c:v>Outremont, Quebec</c:v>
                </c:pt>
                <c:pt idx="9">
                  <c:v>Pierrefonds-Roxboro</c:v>
                </c:pt>
                <c:pt idx="10">
                  <c:v>Le Plateau-Mont-Royal</c:v>
                </c:pt>
                <c:pt idx="11">
                  <c:v>Rivière-des-Prairies–Pointe-aux-Trembles</c:v>
                </c:pt>
                <c:pt idx="12">
                  <c:v>Rosemont–La Petite-Patrie</c:v>
                </c:pt>
                <c:pt idx="13">
                  <c:v>Saint-Laurent, Quebec</c:v>
                </c:pt>
                <c:pt idx="14">
                  <c:v>Saint-Leonard, Quebec</c:v>
                </c:pt>
                <c:pt idx="15">
                  <c:v>Le Sud-Ouest</c:v>
                </c:pt>
                <c:pt idx="16">
                  <c:v>Verdun, Quebec</c:v>
                </c:pt>
                <c:pt idx="17">
                  <c:v>Ville-Marie, Montreal</c:v>
                </c:pt>
                <c:pt idx="18">
                  <c:v>Villeray–Saint-Michel–Parc-Extension</c:v>
                </c:pt>
              </c:strCache>
            </c:strRef>
          </c:cat>
          <c:val>
            <c:numRef>
              <c:f>'TC - résumé'!$F$20:$F$38</c:f>
              <c:numCache>
                <c:formatCode>_("$"* #,##0.00_);_("$"* \(#,##0.00\);_("$"* "-"??_);_(@_)</c:formatCode>
                <c:ptCount val="19"/>
                <c:pt idx="0">
                  <c:v>430.06261876622068</c:v>
                </c:pt>
                <c:pt idx="1">
                  <c:v>329.66296363823619</c:v>
                </c:pt>
                <c:pt idx="2">
                  <c:v>365.75322790806354</c:v>
                </c:pt>
                <c:pt idx="3">
                  <c:v>179.55314611174384</c:v>
                </c:pt>
                <c:pt idx="4">
                  <c:v>323.67344660771244</c:v>
                </c:pt>
                <c:pt idx="5">
                  <c:v>335.57056689583669</c:v>
                </c:pt>
                <c:pt idx="6">
                  <c:v>344.2283328667454</c:v>
                </c:pt>
                <c:pt idx="7">
                  <c:v>309.46325106061511</c:v>
                </c:pt>
                <c:pt idx="8">
                  <c:v>692.21242954866943</c:v>
                </c:pt>
                <c:pt idx="9">
                  <c:v>226.09117341310446</c:v>
                </c:pt>
                <c:pt idx="10">
                  <c:v>695.23775021757194</c:v>
                </c:pt>
                <c:pt idx="11">
                  <c:v>278.6377652900677</c:v>
                </c:pt>
                <c:pt idx="12">
                  <c:v>558.4142765223603</c:v>
                </c:pt>
                <c:pt idx="13">
                  <c:v>315.9449795317247</c:v>
                </c:pt>
                <c:pt idx="14">
                  <c:v>360.1908775503066</c:v>
                </c:pt>
                <c:pt idx="15">
                  <c:v>396.40505965827344</c:v>
                </c:pt>
                <c:pt idx="16">
                  <c:v>392.10057610731837</c:v>
                </c:pt>
                <c:pt idx="17">
                  <c:v>696.39850599462011</c:v>
                </c:pt>
                <c:pt idx="18">
                  <c:v>363.76779401251702</c:v>
                </c:pt>
              </c:numCache>
            </c:numRef>
          </c:val>
          <c:extLst>
            <c:ext xmlns:c16="http://schemas.microsoft.com/office/drawing/2014/chart" uri="{C3380CC4-5D6E-409C-BE32-E72D297353CC}">
              <c16:uniqueId val="{00000004-BBDB-D946-A24A-4650C23FF359}"/>
            </c:ext>
          </c:extLst>
        </c:ser>
        <c:ser>
          <c:idx val="5"/>
          <c:order val="5"/>
          <c:tx>
            <c:v>Bénéfice santé</c:v>
          </c:tx>
          <c:spPr>
            <a:solidFill>
              <a:schemeClr val="accent6"/>
            </a:solidFill>
            <a:ln>
              <a:noFill/>
            </a:ln>
            <a:effectLst/>
          </c:spPr>
          <c:invertIfNegative val="0"/>
          <c:cat>
            <c:strRef>
              <c:f>'TC - résumé'!$A$20:$A$38</c:f>
              <c:strCache>
                <c:ptCount val="19"/>
                <c:pt idx="0">
                  <c:v>Ahuntsic-Cartierville</c:v>
                </c:pt>
                <c:pt idx="1">
                  <c:v>Anjou, Quebec</c:v>
                </c:pt>
                <c:pt idx="2">
                  <c:v>Côte-des-Neiges–Notre-Dame-de-Grâce</c:v>
                </c:pt>
                <c:pt idx="3">
                  <c:v>L'Île-Bizard–Sainte-Geneviève</c:v>
                </c:pt>
                <c:pt idx="4">
                  <c:v>Lachine, Quebec</c:v>
                </c:pt>
                <c:pt idx="5">
                  <c:v>LaSalle, Quebec</c:v>
                </c:pt>
                <c:pt idx="6">
                  <c:v>Mercier–Hochelaga-Maisonneuve</c:v>
                </c:pt>
                <c:pt idx="7">
                  <c:v>Montréal-Nord</c:v>
                </c:pt>
                <c:pt idx="8">
                  <c:v>Outremont, Quebec</c:v>
                </c:pt>
                <c:pt idx="9">
                  <c:v>Pierrefonds-Roxboro</c:v>
                </c:pt>
                <c:pt idx="10">
                  <c:v>Le Plateau-Mont-Royal</c:v>
                </c:pt>
                <c:pt idx="11">
                  <c:v>Rivière-des-Prairies–Pointe-aux-Trembles</c:v>
                </c:pt>
                <c:pt idx="12">
                  <c:v>Rosemont–La Petite-Patrie</c:v>
                </c:pt>
                <c:pt idx="13">
                  <c:v>Saint-Laurent, Quebec</c:v>
                </c:pt>
                <c:pt idx="14">
                  <c:v>Saint-Leonard, Quebec</c:v>
                </c:pt>
                <c:pt idx="15">
                  <c:v>Le Sud-Ouest</c:v>
                </c:pt>
                <c:pt idx="16">
                  <c:v>Verdun, Quebec</c:v>
                </c:pt>
                <c:pt idx="17">
                  <c:v>Ville-Marie, Montreal</c:v>
                </c:pt>
                <c:pt idx="18">
                  <c:v>Villeray–Saint-Michel–Parc-Extension</c:v>
                </c:pt>
              </c:strCache>
            </c:strRef>
          </c:cat>
          <c:val>
            <c:numRef>
              <c:f>'TC - résumé'!$G$20:$G$38</c:f>
              <c:numCache>
                <c:formatCode>_("$"* #,##0.00_);_("$"* \(#,##0.00\);_("$"* "-"??_);_(@_)</c:formatCode>
                <c:ptCount val="19"/>
                <c:pt idx="0">
                  <c:v>-527.58383061384006</c:v>
                </c:pt>
                <c:pt idx="1">
                  <c:v>-527.58383061384006</c:v>
                </c:pt>
                <c:pt idx="2">
                  <c:v>-527.58383061384006</c:v>
                </c:pt>
                <c:pt idx="3">
                  <c:v>-527.58383061384006</c:v>
                </c:pt>
                <c:pt idx="4">
                  <c:v>-527.58383061384006</c:v>
                </c:pt>
                <c:pt idx="5">
                  <c:v>-527.58383061384006</c:v>
                </c:pt>
                <c:pt idx="6">
                  <c:v>-527.58383061384006</c:v>
                </c:pt>
                <c:pt idx="7">
                  <c:v>-527.58383061384006</c:v>
                </c:pt>
                <c:pt idx="8">
                  <c:v>-527.58383061384006</c:v>
                </c:pt>
                <c:pt idx="9">
                  <c:v>-527.58383061384006</c:v>
                </c:pt>
                <c:pt idx="10">
                  <c:v>-527.58383061384006</c:v>
                </c:pt>
                <c:pt idx="11">
                  <c:v>-527.58383061384006</c:v>
                </c:pt>
                <c:pt idx="12">
                  <c:v>-527.58383061384006</c:v>
                </c:pt>
                <c:pt idx="13">
                  <c:v>-527.58383061384006</c:v>
                </c:pt>
                <c:pt idx="14">
                  <c:v>-527.58383061384006</c:v>
                </c:pt>
                <c:pt idx="15">
                  <c:v>-527.58383061384006</c:v>
                </c:pt>
                <c:pt idx="16">
                  <c:v>-527.58383061384006</c:v>
                </c:pt>
                <c:pt idx="17">
                  <c:v>-527.58383061384006</c:v>
                </c:pt>
                <c:pt idx="18">
                  <c:v>-527.58383061384006</c:v>
                </c:pt>
              </c:numCache>
            </c:numRef>
          </c:val>
          <c:extLst>
            <c:ext xmlns:c16="http://schemas.microsoft.com/office/drawing/2014/chart" uri="{C3380CC4-5D6E-409C-BE32-E72D297353CC}">
              <c16:uniqueId val="{00000005-BBDB-D946-A24A-4650C23FF359}"/>
            </c:ext>
          </c:extLst>
        </c:ser>
        <c:dLbls>
          <c:showLegendKey val="0"/>
          <c:showVal val="0"/>
          <c:showCatName val="0"/>
          <c:showSerName val="0"/>
          <c:showPercent val="0"/>
          <c:showBubbleSize val="0"/>
        </c:dLbls>
        <c:gapWidth val="150"/>
        <c:overlap val="100"/>
        <c:axId val="1373809488"/>
        <c:axId val="1480909600"/>
      </c:barChart>
      <c:catAx>
        <c:axId val="13738094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80909600"/>
        <c:crosses val="autoZero"/>
        <c:auto val="1"/>
        <c:lblAlgn val="ctr"/>
        <c:lblOffset val="100"/>
        <c:noMultiLvlLbl val="0"/>
      </c:catAx>
      <c:valAx>
        <c:axId val="1480909600"/>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00_);_(&quot;$&quot;* \(#,##0.0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7380948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0" i="0" u="none" strike="noStrike" kern="1200" spc="0" baseline="0">
                <a:solidFill>
                  <a:sysClr val="windowText" lastClr="000000">
                    <a:lumMod val="65000"/>
                    <a:lumOff val="35000"/>
                  </a:sysClr>
                </a:solidFill>
              </a:rPr>
              <a:t>Distribution des coûts totaux par ville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v>Achat et utilisation</c:v>
          </c:tx>
          <c:spPr>
            <a:solidFill>
              <a:schemeClr val="accent1"/>
            </a:solidFill>
            <a:ln>
              <a:noFill/>
            </a:ln>
            <a:effectLst/>
          </c:spPr>
          <c:invertIfNegative val="0"/>
          <c:cat>
            <c:strRef>
              <c:f>'Vélo - résumé'!$A$3:$A$18</c:f>
              <c:strCache>
                <c:ptCount val="16"/>
                <c:pt idx="0">
                  <c:v>Agglomération de Montréal</c:v>
                </c:pt>
                <c:pt idx="1">
                  <c:v>Baie-D'Urfé</c:v>
                </c:pt>
                <c:pt idx="2">
                  <c:v>Beaconsfield, Quebec</c:v>
                </c:pt>
                <c:pt idx="3">
                  <c:v>Côte Saint-Luc</c:v>
                </c:pt>
                <c:pt idx="4">
                  <c:v>Dollard-des-Ormeaux</c:v>
                </c:pt>
                <c:pt idx="5">
                  <c:v>Dorval</c:v>
                </c:pt>
                <c:pt idx="6">
                  <c:v>Hampstead, Quebec</c:v>
                </c:pt>
                <c:pt idx="7">
                  <c:v>Kirkland, Quebec</c:v>
                </c:pt>
                <c:pt idx="8">
                  <c:v>Montreal</c:v>
                </c:pt>
                <c:pt idx="9">
                  <c:v>Montréal-Est, Quebec</c:v>
                </c:pt>
                <c:pt idx="10">
                  <c:v>Montreal West, Quebec</c:v>
                </c:pt>
                <c:pt idx="11">
                  <c:v>Mount Royal, Quebec</c:v>
                </c:pt>
                <c:pt idx="12">
                  <c:v>Pointe-Claire</c:v>
                </c:pt>
                <c:pt idx="13">
                  <c:v>Sainte-Anne-de-Bellevue</c:v>
                </c:pt>
                <c:pt idx="14">
                  <c:v>Senneville, Quebec</c:v>
                </c:pt>
                <c:pt idx="15">
                  <c:v>Westmount</c:v>
                </c:pt>
              </c:strCache>
            </c:strRef>
          </c:cat>
          <c:val>
            <c:numRef>
              <c:f>'Vélo - résumé'!$B$3:$B$18</c:f>
              <c:numCache>
                <c:formatCode>_("$"* #,##0.00_);_("$"* \(#,##0.00\);_("$"* "-"??_);_(@_)</c:formatCode>
                <c:ptCount val="16"/>
                <c:pt idx="0">
                  <c:v>205.07379999999998</c:v>
                </c:pt>
                <c:pt idx="1">
                  <c:v>205.07379999999998</c:v>
                </c:pt>
                <c:pt idx="2">
                  <c:v>205.07379999999998</c:v>
                </c:pt>
                <c:pt idx="3">
                  <c:v>205.07379999999998</c:v>
                </c:pt>
                <c:pt idx="4">
                  <c:v>205.07379999999998</c:v>
                </c:pt>
                <c:pt idx="5">
                  <c:v>205.07379999999998</c:v>
                </c:pt>
                <c:pt idx="6">
                  <c:v>205.07379999999998</c:v>
                </c:pt>
                <c:pt idx="7">
                  <c:v>205.07379999999998</c:v>
                </c:pt>
                <c:pt idx="8">
                  <c:v>205.07379999999998</c:v>
                </c:pt>
                <c:pt idx="9">
                  <c:v>205.07379999999998</c:v>
                </c:pt>
                <c:pt idx="10">
                  <c:v>205.07379999999998</c:v>
                </c:pt>
                <c:pt idx="11">
                  <c:v>205.07379999999998</c:v>
                </c:pt>
                <c:pt idx="12">
                  <c:v>205.07379999999998</c:v>
                </c:pt>
                <c:pt idx="13">
                  <c:v>205.07379999999998</c:v>
                </c:pt>
                <c:pt idx="14">
                  <c:v>205.07379999999998</c:v>
                </c:pt>
                <c:pt idx="15">
                  <c:v>205.07379999999998</c:v>
                </c:pt>
              </c:numCache>
            </c:numRef>
          </c:val>
          <c:extLst>
            <c:ext xmlns:c16="http://schemas.microsoft.com/office/drawing/2014/chart" uri="{C3380CC4-5D6E-409C-BE32-E72D297353CC}">
              <c16:uniqueId val="{00000000-5933-3A4F-8D29-A0C1089BC1EE}"/>
            </c:ext>
          </c:extLst>
        </c:ser>
        <c:ser>
          <c:idx val="1"/>
          <c:order val="1"/>
          <c:tx>
            <c:v>Coûts fixes privés</c:v>
          </c:tx>
          <c:spPr>
            <a:solidFill>
              <a:schemeClr val="accent2"/>
            </a:solidFill>
            <a:ln>
              <a:noFill/>
            </a:ln>
            <a:effectLst/>
          </c:spPr>
          <c:invertIfNegative val="0"/>
          <c:cat>
            <c:strRef>
              <c:f>'Vélo - résumé'!$A$3:$A$18</c:f>
              <c:strCache>
                <c:ptCount val="16"/>
                <c:pt idx="0">
                  <c:v>Agglomération de Montréal</c:v>
                </c:pt>
                <c:pt idx="1">
                  <c:v>Baie-D'Urfé</c:v>
                </c:pt>
                <c:pt idx="2">
                  <c:v>Beaconsfield, Quebec</c:v>
                </c:pt>
                <c:pt idx="3">
                  <c:v>Côte Saint-Luc</c:v>
                </c:pt>
                <c:pt idx="4">
                  <c:v>Dollard-des-Ormeaux</c:v>
                </c:pt>
                <c:pt idx="5">
                  <c:v>Dorval</c:v>
                </c:pt>
                <c:pt idx="6">
                  <c:v>Hampstead, Quebec</c:v>
                </c:pt>
                <c:pt idx="7">
                  <c:v>Kirkland, Quebec</c:v>
                </c:pt>
                <c:pt idx="8">
                  <c:v>Montreal</c:v>
                </c:pt>
                <c:pt idx="9">
                  <c:v>Montréal-Est, Quebec</c:v>
                </c:pt>
                <c:pt idx="10">
                  <c:v>Montreal West, Quebec</c:v>
                </c:pt>
                <c:pt idx="11">
                  <c:v>Mount Royal, Quebec</c:v>
                </c:pt>
                <c:pt idx="12">
                  <c:v>Pointe-Claire</c:v>
                </c:pt>
                <c:pt idx="13">
                  <c:v>Sainte-Anne-de-Bellevue</c:v>
                </c:pt>
                <c:pt idx="14">
                  <c:v>Senneville, Quebec</c:v>
                </c:pt>
                <c:pt idx="15">
                  <c:v>Westmount</c:v>
                </c:pt>
              </c:strCache>
            </c:strRef>
          </c:cat>
          <c:val>
            <c:numRef>
              <c:f>'Vélo - résumé'!$C$3:$C$18</c:f>
              <c:numCache>
                <c:formatCode>_("$"* #,##0.00_);_("$"* \(#,##0.00\);_("$"* "-"??_);_(@_)</c:formatCode>
                <c:ptCount val="16"/>
                <c:pt idx="0">
                  <c:v>199.67778886260805</c:v>
                </c:pt>
                <c:pt idx="1">
                  <c:v>199.67778886260805</c:v>
                </c:pt>
                <c:pt idx="2">
                  <c:v>199.67778886260805</c:v>
                </c:pt>
                <c:pt idx="3">
                  <c:v>199.67778886260805</c:v>
                </c:pt>
                <c:pt idx="4">
                  <c:v>199.67778886260805</c:v>
                </c:pt>
                <c:pt idx="5">
                  <c:v>199.67778886260805</c:v>
                </c:pt>
                <c:pt idx="6">
                  <c:v>199.67778886260805</c:v>
                </c:pt>
                <c:pt idx="7">
                  <c:v>199.67778886260805</c:v>
                </c:pt>
                <c:pt idx="8">
                  <c:v>199.67778886260805</c:v>
                </c:pt>
                <c:pt idx="9">
                  <c:v>199.67778886260805</c:v>
                </c:pt>
                <c:pt idx="10">
                  <c:v>199.67778886260805</c:v>
                </c:pt>
                <c:pt idx="11">
                  <c:v>199.67778886260805</c:v>
                </c:pt>
                <c:pt idx="12">
                  <c:v>199.67778886260805</c:v>
                </c:pt>
                <c:pt idx="13">
                  <c:v>199.67778886260805</c:v>
                </c:pt>
                <c:pt idx="14">
                  <c:v>199.67778886260805</c:v>
                </c:pt>
                <c:pt idx="15">
                  <c:v>199.67778886260805</c:v>
                </c:pt>
              </c:numCache>
            </c:numRef>
          </c:val>
          <c:extLst>
            <c:ext xmlns:c16="http://schemas.microsoft.com/office/drawing/2014/chart" uri="{C3380CC4-5D6E-409C-BE32-E72D297353CC}">
              <c16:uniqueId val="{00000001-5933-3A4F-8D29-A0C1089BC1EE}"/>
            </c:ext>
          </c:extLst>
        </c:ser>
        <c:ser>
          <c:idx val="2"/>
          <c:order val="2"/>
          <c:tx>
            <c:v>Temps de déplacement</c:v>
          </c:tx>
          <c:spPr>
            <a:solidFill>
              <a:schemeClr val="accent3"/>
            </a:solidFill>
            <a:ln>
              <a:noFill/>
            </a:ln>
            <a:effectLst/>
          </c:spPr>
          <c:invertIfNegative val="0"/>
          <c:cat>
            <c:strRef>
              <c:f>'Vélo - résumé'!$A$3:$A$18</c:f>
              <c:strCache>
                <c:ptCount val="16"/>
                <c:pt idx="0">
                  <c:v>Agglomération de Montréal</c:v>
                </c:pt>
                <c:pt idx="1">
                  <c:v>Baie-D'Urfé</c:v>
                </c:pt>
                <c:pt idx="2">
                  <c:v>Beaconsfield, Quebec</c:v>
                </c:pt>
                <c:pt idx="3">
                  <c:v>Côte Saint-Luc</c:v>
                </c:pt>
                <c:pt idx="4">
                  <c:v>Dollard-des-Ormeaux</c:v>
                </c:pt>
                <c:pt idx="5">
                  <c:v>Dorval</c:v>
                </c:pt>
                <c:pt idx="6">
                  <c:v>Hampstead, Quebec</c:v>
                </c:pt>
                <c:pt idx="7">
                  <c:v>Kirkland, Quebec</c:v>
                </c:pt>
                <c:pt idx="8">
                  <c:v>Montreal</c:v>
                </c:pt>
                <c:pt idx="9">
                  <c:v>Montréal-Est, Quebec</c:v>
                </c:pt>
                <c:pt idx="10">
                  <c:v>Montreal West, Quebec</c:v>
                </c:pt>
                <c:pt idx="11">
                  <c:v>Mount Royal, Quebec</c:v>
                </c:pt>
                <c:pt idx="12">
                  <c:v>Pointe-Claire</c:v>
                </c:pt>
                <c:pt idx="13">
                  <c:v>Sainte-Anne-de-Bellevue</c:v>
                </c:pt>
                <c:pt idx="14">
                  <c:v>Senneville, Quebec</c:v>
                </c:pt>
                <c:pt idx="15">
                  <c:v>Westmount</c:v>
                </c:pt>
              </c:strCache>
            </c:strRef>
          </c:cat>
          <c:val>
            <c:numRef>
              <c:f>'Vélo - résumé'!$D$3:$D$18</c:f>
              <c:numCache>
                <c:formatCode>_("$"* #,##0.00_);_("$"* \(#,##0.00\);_("$"* "-"??_);_(@_)</c:formatCode>
                <c:ptCount val="16"/>
                <c:pt idx="0">
                  <c:v>2365.1523623886969</c:v>
                </c:pt>
                <c:pt idx="1">
                  <c:v>1359.4352953136083</c:v>
                </c:pt>
                <c:pt idx="2">
                  <c:v>2144.5088306176035</c:v>
                </c:pt>
                <c:pt idx="3">
                  <c:v>2339.6992934542614</c:v>
                </c:pt>
                <c:pt idx="4">
                  <c:v>4989.6569220430092</c:v>
                </c:pt>
                <c:pt idx="5">
                  <c:v>2932.5436745222219</c:v>
                </c:pt>
                <c:pt idx="6">
                  <c:v>3420.6242449448414</c:v>
                </c:pt>
                <c:pt idx="7">
                  <c:v>501.66666666666669</c:v>
                </c:pt>
                <c:pt idx="8">
                  <c:v>2354.7735436172989</c:v>
                </c:pt>
                <c:pt idx="9">
                  <c:v>3783.7645119031449</c:v>
                </c:pt>
                <c:pt idx="10">
                  <c:v>3255.2164193302838</c:v>
                </c:pt>
                <c:pt idx="11">
                  <c:v>3071.2145759935738</c:v>
                </c:pt>
                <c:pt idx="12">
                  <c:v>2290.8825310994935</c:v>
                </c:pt>
                <c:pt idx="13">
                  <c:v>1038.3333333333335</c:v>
                </c:pt>
                <c:pt idx="14">
                  <c:v>6178.9052744886958</c:v>
                </c:pt>
                <c:pt idx="15">
                  <c:v>1720.0842140477334</c:v>
                </c:pt>
              </c:numCache>
            </c:numRef>
          </c:val>
          <c:extLst>
            <c:ext xmlns:c16="http://schemas.microsoft.com/office/drawing/2014/chart" uri="{C3380CC4-5D6E-409C-BE32-E72D297353CC}">
              <c16:uniqueId val="{00000002-5933-3A4F-8D29-A0C1089BC1EE}"/>
            </c:ext>
          </c:extLst>
        </c:ser>
        <c:ser>
          <c:idx val="3"/>
          <c:order val="3"/>
          <c:tx>
            <c:v>Coûts publics</c:v>
          </c:tx>
          <c:spPr>
            <a:solidFill>
              <a:schemeClr val="accent4"/>
            </a:solidFill>
            <a:ln>
              <a:noFill/>
            </a:ln>
            <a:effectLst/>
          </c:spPr>
          <c:invertIfNegative val="0"/>
          <c:cat>
            <c:strRef>
              <c:f>'Vélo - résumé'!$A$3:$A$18</c:f>
              <c:strCache>
                <c:ptCount val="16"/>
                <c:pt idx="0">
                  <c:v>Agglomération de Montréal</c:v>
                </c:pt>
                <c:pt idx="1">
                  <c:v>Baie-D'Urfé</c:v>
                </c:pt>
                <c:pt idx="2">
                  <c:v>Beaconsfield, Quebec</c:v>
                </c:pt>
                <c:pt idx="3">
                  <c:v>Côte Saint-Luc</c:v>
                </c:pt>
                <c:pt idx="4">
                  <c:v>Dollard-des-Ormeaux</c:v>
                </c:pt>
                <c:pt idx="5">
                  <c:v>Dorval</c:v>
                </c:pt>
                <c:pt idx="6">
                  <c:v>Hampstead, Quebec</c:v>
                </c:pt>
                <c:pt idx="7">
                  <c:v>Kirkland, Quebec</c:v>
                </c:pt>
                <c:pt idx="8">
                  <c:v>Montreal</c:v>
                </c:pt>
                <c:pt idx="9">
                  <c:v>Montréal-Est, Quebec</c:v>
                </c:pt>
                <c:pt idx="10">
                  <c:v>Montreal West, Quebec</c:v>
                </c:pt>
                <c:pt idx="11">
                  <c:v>Mount Royal, Quebec</c:v>
                </c:pt>
                <c:pt idx="12">
                  <c:v>Pointe-Claire</c:v>
                </c:pt>
                <c:pt idx="13">
                  <c:v>Sainte-Anne-de-Bellevue</c:v>
                </c:pt>
                <c:pt idx="14">
                  <c:v>Senneville, Quebec</c:v>
                </c:pt>
                <c:pt idx="15">
                  <c:v>Westmount</c:v>
                </c:pt>
              </c:strCache>
            </c:strRef>
          </c:cat>
          <c:val>
            <c:numRef>
              <c:f>'Vélo - résumé'!$E$3:$E$18</c:f>
              <c:numCache>
                <c:formatCode>_("$"* #,##0.00_);_("$"* \(#,##0.00\);_("$"* "-"??_);_(@_)</c:formatCode>
                <c:ptCount val="16"/>
                <c:pt idx="0">
                  <c:v>786.06287538405513</c:v>
                </c:pt>
                <c:pt idx="1">
                  <c:v>2064.7757166696624</c:v>
                </c:pt>
                <c:pt idx="2">
                  <c:v>1658.5948237256216</c:v>
                </c:pt>
                <c:pt idx="3">
                  <c:v>1271.6148018757719</c:v>
                </c:pt>
                <c:pt idx="4">
                  <c:v>1083.4302526643139</c:v>
                </c:pt>
                <c:pt idx="5">
                  <c:v>1245.9593395881357</c:v>
                </c:pt>
                <c:pt idx="6">
                  <c:v>625.1173389984508</c:v>
                </c:pt>
                <c:pt idx="7">
                  <c:v>2717.7239960501252</c:v>
                </c:pt>
                <c:pt idx="8">
                  <c:v>778.37541400825899</c:v>
                </c:pt>
                <c:pt idx="9">
                  <c:v>1701.8378781055637</c:v>
                </c:pt>
                <c:pt idx="10">
                  <c:v>857.13779835480477</c:v>
                </c:pt>
                <c:pt idx="11">
                  <c:v>722.31185074178984</c:v>
                </c:pt>
                <c:pt idx="12">
                  <c:v>600.01303414755535</c:v>
                </c:pt>
                <c:pt idx="13">
                  <c:v>3469.4356569550796</c:v>
                </c:pt>
                <c:pt idx="14">
                  <c:v>493.80318141539516</c:v>
                </c:pt>
                <c:pt idx="15">
                  <c:v>842.81957371375006</c:v>
                </c:pt>
              </c:numCache>
            </c:numRef>
          </c:val>
          <c:extLst>
            <c:ext xmlns:c16="http://schemas.microsoft.com/office/drawing/2014/chart" uri="{C3380CC4-5D6E-409C-BE32-E72D297353CC}">
              <c16:uniqueId val="{00000003-5933-3A4F-8D29-A0C1089BC1EE}"/>
            </c:ext>
          </c:extLst>
        </c:ser>
        <c:ser>
          <c:idx val="4"/>
          <c:order val="4"/>
          <c:tx>
            <c:v>Externalités négatives</c:v>
          </c:tx>
          <c:spPr>
            <a:solidFill>
              <a:schemeClr val="accent5"/>
            </a:solidFill>
            <a:ln>
              <a:noFill/>
            </a:ln>
            <a:effectLst/>
          </c:spPr>
          <c:invertIfNegative val="0"/>
          <c:cat>
            <c:strRef>
              <c:f>'Vélo - résumé'!$A$3:$A$18</c:f>
              <c:strCache>
                <c:ptCount val="16"/>
                <c:pt idx="0">
                  <c:v>Agglomération de Montréal</c:v>
                </c:pt>
                <c:pt idx="1">
                  <c:v>Baie-D'Urfé</c:v>
                </c:pt>
                <c:pt idx="2">
                  <c:v>Beaconsfield, Quebec</c:v>
                </c:pt>
                <c:pt idx="3">
                  <c:v>Côte Saint-Luc</c:v>
                </c:pt>
                <c:pt idx="4">
                  <c:v>Dollard-des-Ormeaux</c:v>
                </c:pt>
                <c:pt idx="5">
                  <c:v>Dorval</c:v>
                </c:pt>
                <c:pt idx="6">
                  <c:v>Hampstead, Quebec</c:v>
                </c:pt>
                <c:pt idx="7">
                  <c:v>Kirkland, Quebec</c:v>
                </c:pt>
                <c:pt idx="8">
                  <c:v>Montreal</c:v>
                </c:pt>
                <c:pt idx="9">
                  <c:v>Montréal-Est, Quebec</c:v>
                </c:pt>
                <c:pt idx="10">
                  <c:v>Montreal West, Quebec</c:v>
                </c:pt>
                <c:pt idx="11">
                  <c:v>Mount Royal, Quebec</c:v>
                </c:pt>
                <c:pt idx="12">
                  <c:v>Pointe-Claire</c:v>
                </c:pt>
                <c:pt idx="13">
                  <c:v>Sainte-Anne-de-Bellevue</c:v>
                </c:pt>
                <c:pt idx="14">
                  <c:v>Senneville, Quebec</c:v>
                </c:pt>
                <c:pt idx="15">
                  <c:v>Westmount</c:v>
                </c:pt>
              </c:strCache>
            </c:strRef>
          </c:cat>
          <c:val>
            <c:numRef>
              <c:f>'Vélo - résumé'!$F$3:$F$18</c:f>
              <c:numCache>
                <c:formatCode>_("$"* #,##0.00_);_("$"* \(#,##0.00\);_("$"* "-"??_);_(@_)</c:formatCode>
                <c:ptCount val="16"/>
                <c:pt idx="0">
                  <c:v>769.57224819061355</c:v>
                </c:pt>
                <c:pt idx="1">
                  <c:v>741.78980006438974</c:v>
                </c:pt>
                <c:pt idx="2">
                  <c:v>1849.6335392731307</c:v>
                </c:pt>
                <c:pt idx="3">
                  <c:v>297.78421407438083</c:v>
                </c:pt>
                <c:pt idx="4">
                  <c:v>3542.4974597632422</c:v>
                </c:pt>
                <c:pt idx="5">
                  <c:v>673.18093831166743</c:v>
                </c:pt>
                <c:pt idx="6">
                  <c:v>1024.8801344787321</c:v>
                </c:pt>
                <c:pt idx="7">
                  <c:v>162.31828837234053</c:v>
                </c:pt>
                <c:pt idx="8">
                  <c:v>747.42186189013353</c:v>
                </c:pt>
                <c:pt idx="9">
                  <c:v>1321.334955189712</c:v>
                </c:pt>
                <c:pt idx="10">
                  <c:v>768.03935655239718</c:v>
                </c:pt>
                <c:pt idx="11">
                  <c:v>1060.2371948344471</c:v>
                </c:pt>
                <c:pt idx="12">
                  <c:v>1428.6422243206091</c:v>
                </c:pt>
                <c:pt idx="13">
                  <c:v>2863.5041184036845</c:v>
                </c:pt>
                <c:pt idx="14">
                  <c:v>33.896384834622836</c:v>
                </c:pt>
                <c:pt idx="15">
                  <c:v>1952.4803744602414</c:v>
                </c:pt>
              </c:numCache>
            </c:numRef>
          </c:val>
          <c:extLst>
            <c:ext xmlns:c16="http://schemas.microsoft.com/office/drawing/2014/chart" uri="{C3380CC4-5D6E-409C-BE32-E72D297353CC}">
              <c16:uniqueId val="{00000004-5933-3A4F-8D29-A0C1089BC1EE}"/>
            </c:ext>
          </c:extLst>
        </c:ser>
        <c:ser>
          <c:idx val="5"/>
          <c:order val="5"/>
          <c:tx>
            <c:v>Bénéfice santé</c:v>
          </c:tx>
          <c:spPr>
            <a:solidFill>
              <a:schemeClr val="accent6"/>
            </a:solidFill>
            <a:ln>
              <a:noFill/>
            </a:ln>
            <a:effectLst/>
          </c:spPr>
          <c:invertIfNegative val="0"/>
          <c:cat>
            <c:strRef>
              <c:f>'Vélo - résumé'!$A$3:$A$18</c:f>
              <c:strCache>
                <c:ptCount val="16"/>
                <c:pt idx="0">
                  <c:v>Agglomération de Montréal</c:v>
                </c:pt>
                <c:pt idx="1">
                  <c:v>Baie-D'Urfé</c:v>
                </c:pt>
                <c:pt idx="2">
                  <c:v>Beaconsfield, Quebec</c:v>
                </c:pt>
                <c:pt idx="3">
                  <c:v>Côte Saint-Luc</c:v>
                </c:pt>
                <c:pt idx="4">
                  <c:v>Dollard-des-Ormeaux</c:v>
                </c:pt>
                <c:pt idx="5">
                  <c:v>Dorval</c:v>
                </c:pt>
                <c:pt idx="6">
                  <c:v>Hampstead, Quebec</c:v>
                </c:pt>
                <c:pt idx="7">
                  <c:v>Kirkland, Quebec</c:v>
                </c:pt>
                <c:pt idx="8">
                  <c:v>Montreal</c:v>
                </c:pt>
                <c:pt idx="9">
                  <c:v>Montréal-Est, Quebec</c:v>
                </c:pt>
                <c:pt idx="10">
                  <c:v>Montreal West, Quebec</c:v>
                </c:pt>
                <c:pt idx="11">
                  <c:v>Mount Royal, Quebec</c:v>
                </c:pt>
                <c:pt idx="12">
                  <c:v>Pointe-Claire</c:v>
                </c:pt>
                <c:pt idx="13">
                  <c:v>Sainte-Anne-de-Bellevue</c:v>
                </c:pt>
                <c:pt idx="14">
                  <c:v>Senneville, Quebec</c:v>
                </c:pt>
                <c:pt idx="15">
                  <c:v>Westmount</c:v>
                </c:pt>
              </c:strCache>
            </c:strRef>
          </c:cat>
          <c:val>
            <c:numRef>
              <c:f>'Vélo - résumé'!$G$3:$G$18</c:f>
              <c:numCache>
                <c:formatCode>_("$"* #,##0.00_);_("$"* \(#,##0.00\);_("$"* "-"??_);_(@_)</c:formatCode>
                <c:ptCount val="16"/>
                <c:pt idx="0">
                  <c:v>-1893.2700931294048</c:v>
                </c:pt>
                <c:pt idx="1">
                  <c:v>-1327.367142041787</c:v>
                </c:pt>
                <c:pt idx="2">
                  <c:v>-2125.9138398744276</c:v>
                </c:pt>
                <c:pt idx="3">
                  <c:v>-1937.8878253757318</c:v>
                </c:pt>
                <c:pt idx="4">
                  <c:v>-4560.316248782301</c:v>
                </c:pt>
                <c:pt idx="5">
                  <c:v>-2662.966064001731</c:v>
                </c:pt>
                <c:pt idx="6">
                  <c:v>-2772.4080389262431</c:v>
                </c:pt>
                <c:pt idx="7">
                  <c:v>-362.79074599320001</c:v>
                </c:pt>
                <c:pt idx="8">
                  <c:v>-1878.8605605664743</c:v>
                </c:pt>
                <c:pt idx="9">
                  <c:v>-3363.5603933943084</c:v>
                </c:pt>
                <c:pt idx="10">
                  <c:v>-2965.0481808230775</c:v>
                </c:pt>
                <c:pt idx="11">
                  <c:v>-2346.5398620723945</c:v>
                </c:pt>
                <c:pt idx="12">
                  <c:v>-2229.4071819339492</c:v>
                </c:pt>
                <c:pt idx="13">
                  <c:v>-943.25593958232002</c:v>
                </c:pt>
                <c:pt idx="14">
                  <c:v>-5595.0533899391403</c:v>
                </c:pt>
                <c:pt idx="15">
                  <c:v>-1269.31657463584</c:v>
                </c:pt>
              </c:numCache>
            </c:numRef>
          </c:val>
          <c:extLst>
            <c:ext xmlns:c16="http://schemas.microsoft.com/office/drawing/2014/chart" uri="{C3380CC4-5D6E-409C-BE32-E72D297353CC}">
              <c16:uniqueId val="{00000005-5933-3A4F-8D29-A0C1089BC1EE}"/>
            </c:ext>
          </c:extLst>
        </c:ser>
        <c:dLbls>
          <c:showLegendKey val="0"/>
          <c:showVal val="0"/>
          <c:showCatName val="0"/>
          <c:showSerName val="0"/>
          <c:showPercent val="0"/>
          <c:showBubbleSize val="0"/>
        </c:dLbls>
        <c:gapWidth val="150"/>
        <c:overlap val="100"/>
        <c:axId val="1375568352"/>
        <c:axId val="1479628272"/>
      </c:barChart>
      <c:catAx>
        <c:axId val="1375568352"/>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79628272"/>
        <c:crosses val="autoZero"/>
        <c:auto val="1"/>
        <c:lblAlgn val="ctr"/>
        <c:lblOffset val="100"/>
        <c:noMultiLvlLbl val="0"/>
      </c:catAx>
      <c:valAx>
        <c:axId val="1479628272"/>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00_);_(&quot;$&quot;* \(#,##0.0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7556835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0" i="0" u="none" strike="noStrike" kern="1200" spc="0" baseline="0">
                <a:solidFill>
                  <a:sysClr val="windowText" lastClr="000000">
                    <a:lumMod val="65000"/>
                    <a:lumOff val="35000"/>
                  </a:sysClr>
                </a:solidFill>
              </a:rPr>
              <a:t>Distribution des coûts totaux par arrondissement</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v>Achat et utilisation</c:v>
          </c:tx>
          <c:spPr>
            <a:solidFill>
              <a:schemeClr val="accent1"/>
            </a:solidFill>
            <a:ln>
              <a:noFill/>
            </a:ln>
            <a:effectLst/>
          </c:spPr>
          <c:invertIfNegative val="0"/>
          <c:cat>
            <c:strRef>
              <c:f>'Vélo - résumé'!$A$20:$A$38</c:f>
              <c:strCache>
                <c:ptCount val="19"/>
                <c:pt idx="0">
                  <c:v>Ahuntsic-Cartierville</c:v>
                </c:pt>
                <c:pt idx="1">
                  <c:v>Anjou, Quebec</c:v>
                </c:pt>
                <c:pt idx="2">
                  <c:v>Côte-des-Neiges–Notre-Dame-de-Grâce</c:v>
                </c:pt>
                <c:pt idx="3">
                  <c:v>L'Île-Bizard–Sainte-Geneviève</c:v>
                </c:pt>
                <c:pt idx="4">
                  <c:v>Lachine, Quebec</c:v>
                </c:pt>
                <c:pt idx="5">
                  <c:v>LaSalle, Quebec</c:v>
                </c:pt>
                <c:pt idx="6">
                  <c:v>Mercier–Hochelaga-Maisonneuve</c:v>
                </c:pt>
                <c:pt idx="7">
                  <c:v>Montréal-Nord</c:v>
                </c:pt>
                <c:pt idx="8">
                  <c:v>Outremont, Quebec</c:v>
                </c:pt>
                <c:pt idx="9">
                  <c:v>Pierrefonds-Roxboro</c:v>
                </c:pt>
                <c:pt idx="10">
                  <c:v>Le Plateau-Mont-Royal</c:v>
                </c:pt>
                <c:pt idx="11">
                  <c:v>Rivière-des-Prairies–Pointe-aux-Trembles</c:v>
                </c:pt>
                <c:pt idx="12">
                  <c:v>Rosemont–La Petite-Patrie</c:v>
                </c:pt>
                <c:pt idx="13">
                  <c:v>Saint-Laurent, Quebec</c:v>
                </c:pt>
                <c:pt idx="14">
                  <c:v>Saint-Leonard, Quebec</c:v>
                </c:pt>
                <c:pt idx="15">
                  <c:v>Le Sud-Ouest</c:v>
                </c:pt>
                <c:pt idx="16">
                  <c:v>Verdun, Quebec</c:v>
                </c:pt>
                <c:pt idx="17">
                  <c:v>Ville-Marie, Montreal</c:v>
                </c:pt>
                <c:pt idx="18">
                  <c:v>Villeray–Saint-Michel–Parc-Extension</c:v>
                </c:pt>
              </c:strCache>
            </c:strRef>
          </c:cat>
          <c:val>
            <c:numRef>
              <c:f>'Vélo - résumé'!$B$20:$B$38</c:f>
              <c:numCache>
                <c:formatCode>_("$"* #,##0.00_);_("$"* \(#,##0.00\);_("$"* "-"??_);_(@_)</c:formatCode>
                <c:ptCount val="19"/>
                <c:pt idx="0">
                  <c:v>205.07379999999998</c:v>
                </c:pt>
                <c:pt idx="1">
                  <c:v>205.07379999999998</c:v>
                </c:pt>
                <c:pt idx="2">
                  <c:v>205.07379999999998</c:v>
                </c:pt>
                <c:pt idx="3">
                  <c:v>205.07379999999998</c:v>
                </c:pt>
                <c:pt idx="4">
                  <c:v>205.07379999999998</c:v>
                </c:pt>
                <c:pt idx="5">
                  <c:v>205.07379999999998</c:v>
                </c:pt>
                <c:pt idx="6">
                  <c:v>205.07379999999998</c:v>
                </c:pt>
                <c:pt idx="7">
                  <c:v>205.07379999999998</c:v>
                </c:pt>
                <c:pt idx="8">
                  <c:v>205.07379999999998</c:v>
                </c:pt>
                <c:pt idx="9">
                  <c:v>205.07379999999998</c:v>
                </c:pt>
                <c:pt idx="10">
                  <c:v>205.07379999999998</c:v>
                </c:pt>
                <c:pt idx="11">
                  <c:v>205.07379999999998</c:v>
                </c:pt>
                <c:pt idx="12">
                  <c:v>205.07379999999998</c:v>
                </c:pt>
                <c:pt idx="13">
                  <c:v>205.07379999999998</c:v>
                </c:pt>
                <c:pt idx="14">
                  <c:v>205.07379999999998</c:v>
                </c:pt>
                <c:pt idx="15">
                  <c:v>205.07379999999998</c:v>
                </c:pt>
                <c:pt idx="16">
                  <c:v>205.07379999999998</c:v>
                </c:pt>
                <c:pt idx="17">
                  <c:v>205.07379999999998</c:v>
                </c:pt>
                <c:pt idx="18">
                  <c:v>205.07379999999998</c:v>
                </c:pt>
              </c:numCache>
            </c:numRef>
          </c:val>
          <c:extLst>
            <c:ext xmlns:c16="http://schemas.microsoft.com/office/drawing/2014/chart" uri="{C3380CC4-5D6E-409C-BE32-E72D297353CC}">
              <c16:uniqueId val="{00000000-4F0A-ED4E-8F37-E40735822F48}"/>
            </c:ext>
          </c:extLst>
        </c:ser>
        <c:ser>
          <c:idx val="1"/>
          <c:order val="1"/>
          <c:tx>
            <c:v>Coûts fixes privés</c:v>
          </c:tx>
          <c:spPr>
            <a:solidFill>
              <a:schemeClr val="accent2"/>
            </a:solidFill>
            <a:ln>
              <a:noFill/>
            </a:ln>
            <a:effectLst/>
          </c:spPr>
          <c:invertIfNegative val="0"/>
          <c:cat>
            <c:strRef>
              <c:f>'Vélo - résumé'!$A$20:$A$38</c:f>
              <c:strCache>
                <c:ptCount val="19"/>
                <c:pt idx="0">
                  <c:v>Ahuntsic-Cartierville</c:v>
                </c:pt>
                <c:pt idx="1">
                  <c:v>Anjou, Quebec</c:v>
                </c:pt>
                <c:pt idx="2">
                  <c:v>Côte-des-Neiges–Notre-Dame-de-Grâce</c:v>
                </c:pt>
                <c:pt idx="3">
                  <c:v>L'Île-Bizard–Sainte-Geneviève</c:v>
                </c:pt>
                <c:pt idx="4">
                  <c:v>Lachine, Quebec</c:v>
                </c:pt>
                <c:pt idx="5">
                  <c:v>LaSalle, Quebec</c:v>
                </c:pt>
                <c:pt idx="6">
                  <c:v>Mercier–Hochelaga-Maisonneuve</c:v>
                </c:pt>
                <c:pt idx="7">
                  <c:v>Montréal-Nord</c:v>
                </c:pt>
                <c:pt idx="8">
                  <c:v>Outremont, Quebec</c:v>
                </c:pt>
                <c:pt idx="9">
                  <c:v>Pierrefonds-Roxboro</c:v>
                </c:pt>
                <c:pt idx="10">
                  <c:v>Le Plateau-Mont-Royal</c:v>
                </c:pt>
                <c:pt idx="11">
                  <c:v>Rivière-des-Prairies–Pointe-aux-Trembles</c:v>
                </c:pt>
                <c:pt idx="12">
                  <c:v>Rosemont–La Petite-Patrie</c:v>
                </c:pt>
                <c:pt idx="13">
                  <c:v>Saint-Laurent, Quebec</c:v>
                </c:pt>
                <c:pt idx="14">
                  <c:v>Saint-Leonard, Quebec</c:v>
                </c:pt>
                <c:pt idx="15">
                  <c:v>Le Sud-Ouest</c:v>
                </c:pt>
                <c:pt idx="16">
                  <c:v>Verdun, Quebec</c:v>
                </c:pt>
                <c:pt idx="17">
                  <c:v>Ville-Marie, Montreal</c:v>
                </c:pt>
                <c:pt idx="18">
                  <c:v>Villeray–Saint-Michel–Parc-Extension</c:v>
                </c:pt>
              </c:strCache>
            </c:strRef>
          </c:cat>
          <c:val>
            <c:numRef>
              <c:f>'Vélo - résumé'!$C$20:$C$38</c:f>
              <c:numCache>
                <c:formatCode>_("$"* #,##0.00_);_("$"* \(#,##0.00\);_("$"* "-"??_);_(@_)</c:formatCode>
                <c:ptCount val="19"/>
                <c:pt idx="0">
                  <c:v>199.67778886260805</c:v>
                </c:pt>
                <c:pt idx="1">
                  <c:v>199.67778886260805</c:v>
                </c:pt>
                <c:pt idx="2">
                  <c:v>199.67778886260805</c:v>
                </c:pt>
                <c:pt idx="3">
                  <c:v>199.67778886260805</c:v>
                </c:pt>
                <c:pt idx="4">
                  <c:v>199.67778886260805</c:v>
                </c:pt>
                <c:pt idx="5">
                  <c:v>199.67778886260805</c:v>
                </c:pt>
                <c:pt idx="6">
                  <c:v>199.67778886260805</c:v>
                </c:pt>
                <c:pt idx="7">
                  <c:v>199.67778886260805</c:v>
                </c:pt>
                <c:pt idx="8">
                  <c:v>199.67778886260805</c:v>
                </c:pt>
                <c:pt idx="9">
                  <c:v>199.67778886260805</c:v>
                </c:pt>
                <c:pt idx="10">
                  <c:v>199.67778886260805</c:v>
                </c:pt>
                <c:pt idx="11">
                  <c:v>199.67778886260805</c:v>
                </c:pt>
                <c:pt idx="12">
                  <c:v>199.67778886260805</c:v>
                </c:pt>
                <c:pt idx="13">
                  <c:v>199.67778886260805</c:v>
                </c:pt>
                <c:pt idx="14">
                  <c:v>199.67778886260805</c:v>
                </c:pt>
                <c:pt idx="15">
                  <c:v>199.67778886260805</c:v>
                </c:pt>
                <c:pt idx="16">
                  <c:v>199.67778886260805</c:v>
                </c:pt>
                <c:pt idx="17">
                  <c:v>199.67778886260805</c:v>
                </c:pt>
                <c:pt idx="18">
                  <c:v>199.67778886260805</c:v>
                </c:pt>
              </c:numCache>
            </c:numRef>
          </c:val>
          <c:extLst>
            <c:ext xmlns:c16="http://schemas.microsoft.com/office/drawing/2014/chart" uri="{C3380CC4-5D6E-409C-BE32-E72D297353CC}">
              <c16:uniqueId val="{00000001-4F0A-ED4E-8F37-E40735822F48}"/>
            </c:ext>
          </c:extLst>
        </c:ser>
        <c:ser>
          <c:idx val="2"/>
          <c:order val="2"/>
          <c:tx>
            <c:v>Temps de déplacement</c:v>
          </c:tx>
          <c:spPr>
            <a:solidFill>
              <a:schemeClr val="accent3"/>
            </a:solidFill>
            <a:ln>
              <a:noFill/>
            </a:ln>
            <a:effectLst/>
          </c:spPr>
          <c:invertIfNegative val="0"/>
          <c:cat>
            <c:strRef>
              <c:f>'Vélo - résumé'!$A$20:$A$38</c:f>
              <c:strCache>
                <c:ptCount val="19"/>
                <c:pt idx="0">
                  <c:v>Ahuntsic-Cartierville</c:v>
                </c:pt>
                <c:pt idx="1">
                  <c:v>Anjou, Quebec</c:v>
                </c:pt>
                <c:pt idx="2">
                  <c:v>Côte-des-Neiges–Notre-Dame-de-Grâce</c:v>
                </c:pt>
                <c:pt idx="3">
                  <c:v>L'Île-Bizard–Sainte-Geneviève</c:v>
                </c:pt>
                <c:pt idx="4">
                  <c:v>Lachine, Quebec</c:v>
                </c:pt>
                <c:pt idx="5">
                  <c:v>LaSalle, Quebec</c:v>
                </c:pt>
                <c:pt idx="6">
                  <c:v>Mercier–Hochelaga-Maisonneuve</c:v>
                </c:pt>
                <c:pt idx="7">
                  <c:v>Montréal-Nord</c:v>
                </c:pt>
                <c:pt idx="8">
                  <c:v>Outremont, Quebec</c:v>
                </c:pt>
                <c:pt idx="9">
                  <c:v>Pierrefonds-Roxboro</c:v>
                </c:pt>
                <c:pt idx="10">
                  <c:v>Le Plateau-Mont-Royal</c:v>
                </c:pt>
                <c:pt idx="11">
                  <c:v>Rivière-des-Prairies–Pointe-aux-Trembles</c:v>
                </c:pt>
                <c:pt idx="12">
                  <c:v>Rosemont–La Petite-Patrie</c:v>
                </c:pt>
                <c:pt idx="13">
                  <c:v>Saint-Laurent, Quebec</c:v>
                </c:pt>
                <c:pt idx="14">
                  <c:v>Saint-Leonard, Quebec</c:v>
                </c:pt>
                <c:pt idx="15">
                  <c:v>Le Sud-Ouest</c:v>
                </c:pt>
                <c:pt idx="16">
                  <c:v>Verdun, Quebec</c:v>
                </c:pt>
                <c:pt idx="17">
                  <c:v>Ville-Marie, Montreal</c:v>
                </c:pt>
                <c:pt idx="18">
                  <c:v>Villeray–Saint-Michel–Parc-Extension</c:v>
                </c:pt>
              </c:strCache>
            </c:strRef>
          </c:cat>
          <c:val>
            <c:numRef>
              <c:f>'Vélo - résumé'!$D$20:$D$38</c:f>
              <c:numCache>
                <c:formatCode>_("$"* #,##0.00_);_("$"* \(#,##0.00\);_("$"* "-"??_);_(@_)</c:formatCode>
                <c:ptCount val="19"/>
                <c:pt idx="0">
                  <c:v>2924.3200342484802</c:v>
                </c:pt>
                <c:pt idx="1">
                  <c:v>4045.61063872861</c:v>
                </c:pt>
                <c:pt idx="2">
                  <c:v>2557.8150574706101</c:v>
                </c:pt>
                <c:pt idx="3">
                  <c:v>3258.678270545227</c:v>
                </c:pt>
                <c:pt idx="4">
                  <c:v>3382.5828551614636</c:v>
                </c:pt>
                <c:pt idx="5">
                  <c:v>3000.2807695518932</c:v>
                </c:pt>
                <c:pt idx="6">
                  <c:v>2557.7294980611964</c:v>
                </c:pt>
                <c:pt idx="7">
                  <c:v>4307.7749234958901</c:v>
                </c:pt>
                <c:pt idx="8">
                  <c:v>2091.8556279945101</c:v>
                </c:pt>
                <c:pt idx="9">
                  <c:v>1446.8922273024214</c:v>
                </c:pt>
                <c:pt idx="10">
                  <c:v>1921.4737502890998</c:v>
                </c:pt>
                <c:pt idx="11">
                  <c:v>4081.2714840830913</c:v>
                </c:pt>
                <c:pt idx="12">
                  <c:v>2331.5202754029901</c:v>
                </c:pt>
                <c:pt idx="13">
                  <c:v>2039.2098567901198</c:v>
                </c:pt>
                <c:pt idx="14">
                  <c:v>2419.0194215748397</c:v>
                </c:pt>
                <c:pt idx="15">
                  <c:v>1987.8595096265849</c:v>
                </c:pt>
                <c:pt idx="16">
                  <c:v>3673.7272161221099</c:v>
                </c:pt>
                <c:pt idx="17">
                  <c:v>1933.0773419920552</c:v>
                </c:pt>
                <c:pt idx="18">
                  <c:v>2401.9921159240885</c:v>
                </c:pt>
              </c:numCache>
            </c:numRef>
          </c:val>
          <c:extLst>
            <c:ext xmlns:c16="http://schemas.microsoft.com/office/drawing/2014/chart" uri="{C3380CC4-5D6E-409C-BE32-E72D297353CC}">
              <c16:uniqueId val="{00000002-4F0A-ED4E-8F37-E40735822F48}"/>
            </c:ext>
          </c:extLst>
        </c:ser>
        <c:ser>
          <c:idx val="3"/>
          <c:order val="3"/>
          <c:tx>
            <c:v>Coûts publics</c:v>
          </c:tx>
          <c:spPr>
            <a:solidFill>
              <a:schemeClr val="accent4"/>
            </a:solidFill>
            <a:ln>
              <a:noFill/>
            </a:ln>
            <a:effectLst/>
          </c:spPr>
          <c:invertIfNegative val="0"/>
          <c:cat>
            <c:strRef>
              <c:f>'Vélo - résumé'!$A$20:$A$38</c:f>
              <c:strCache>
                <c:ptCount val="19"/>
                <c:pt idx="0">
                  <c:v>Ahuntsic-Cartierville</c:v>
                </c:pt>
                <c:pt idx="1">
                  <c:v>Anjou, Quebec</c:v>
                </c:pt>
                <c:pt idx="2">
                  <c:v>Côte-des-Neiges–Notre-Dame-de-Grâce</c:v>
                </c:pt>
                <c:pt idx="3">
                  <c:v>L'Île-Bizard–Sainte-Geneviève</c:v>
                </c:pt>
                <c:pt idx="4">
                  <c:v>Lachine, Quebec</c:v>
                </c:pt>
                <c:pt idx="5">
                  <c:v>LaSalle, Quebec</c:v>
                </c:pt>
                <c:pt idx="6">
                  <c:v>Mercier–Hochelaga-Maisonneuve</c:v>
                </c:pt>
                <c:pt idx="7">
                  <c:v>Montréal-Nord</c:v>
                </c:pt>
                <c:pt idx="8">
                  <c:v>Outremont, Quebec</c:v>
                </c:pt>
                <c:pt idx="9">
                  <c:v>Pierrefonds-Roxboro</c:v>
                </c:pt>
                <c:pt idx="10">
                  <c:v>Le Plateau-Mont-Royal</c:v>
                </c:pt>
                <c:pt idx="11">
                  <c:v>Rivière-des-Prairies–Pointe-aux-Trembles</c:v>
                </c:pt>
                <c:pt idx="12">
                  <c:v>Rosemont–La Petite-Patrie</c:v>
                </c:pt>
                <c:pt idx="13">
                  <c:v>Saint-Laurent, Quebec</c:v>
                </c:pt>
                <c:pt idx="14">
                  <c:v>Saint-Leonard, Quebec</c:v>
                </c:pt>
                <c:pt idx="15">
                  <c:v>Le Sud-Ouest</c:v>
                </c:pt>
                <c:pt idx="16">
                  <c:v>Verdun, Quebec</c:v>
                </c:pt>
                <c:pt idx="17">
                  <c:v>Ville-Marie, Montreal</c:v>
                </c:pt>
                <c:pt idx="18">
                  <c:v>Villeray–Saint-Michel–Parc-Extension</c:v>
                </c:pt>
              </c:strCache>
            </c:strRef>
          </c:cat>
          <c:val>
            <c:numRef>
              <c:f>'Vélo - résumé'!$E$20:$E$38</c:f>
              <c:numCache>
                <c:formatCode>_("$"* #,##0.00_);_("$"* \(#,##0.00\);_("$"* "-"??_);_(@_)</c:formatCode>
                <c:ptCount val="19"/>
                <c:pt idx="0">
                  <c:v>779.82995282295474</c:v>
                </c:pt>
                <c:pt idx="1">
                  <c:v>801.822011869677</c:v>
                </c:pt>
                <c:pt idx="2">
                  <c:v>779.23828671979197</c:v>
                </c:pt>
                <c:pt idx="3">
                  <c:v>1095.9854564180127</c:v>
                </c:pt>
                <c:pt idx="4">
                  <c:v>793.20608498908882</c:v>
                </c:pt>
                <c:pt idx="5">
                  <c:v>781.21797018749885</c:v>
                </c:pt>
                <c:pt idx="6">
                  <c:v>777.8456631005331</c:v>
                </c:pt>
                <c:pt idx="7">
                  <c:v>809.80413879681305</c:v>
                </c:pt>
                <c:pt idx="8">
                  <c:v>772.25874711355141</c:v>
                </c:pt>
                <c:pt idx="9">
                  <c:v>899.74513727574742</c:v>
                </c:pt>
                <c:pt idx="10">
                  <c:v>773.65476829031138</c:v>
                </c:pt>
                <c:pt idx="11">
                  <c:v>956.03831886994283</c:v>
                </c:pt>
                <c:pt idx="12">
                  <c:v>777.62225343803811</c:v>
                </c:pt>
                <c:pt idx="13">
                  <c:v>776.73811709901167</c:v>
                </c:pt>
                <c:pt idx="14">
                  <c:v>836.19006899737064</c:v>
                </c:pt>
                <c:pt idx="15">
                  <c:v>770.42897748453697</c:v>
                </c:pt>
                <c:pt idx="16">
                  <c:v>778.01900870924123</c:v>
                </c:pt>
                <c:pt idx="17">
                  <c:v>778.26799795880629</c:v>
                </c:pt>
                <c:pt idx="18">
                  <c:v>771.8185383764993</c:v>
                </c:pt>
              </c:numCache>
            </c:numRef>
          </c:val>
          <c:extLst>
            <c:ext xmlns:c16="http://schemas.microsoft.com/office/drawing/2014/chart" uri="{C3380CC4-5D6E-409C-BE32-E72D297353CC}">
              <c16:uniqueId val="{00000003-4F0A-ED4E-8F37-E40735822F48}"/>
            </c:ext>
          </c:extLst>
        </c:ser>
        <c:ser>
          <c:idx val="4"/>
          <c:order val="4"/>
          <c:tx>
            <c:v>Externalités négatives</c:v>
          </c:tx>
          <c:spPr>
            <a:solidFill>
              <a:schemeClr val="accent5"/>
            </a:solidFill>
            <a:ln>
              <a:noFill/>
            </a:ln>
            <a:effectLst/>
          </c:spPr>
          <c:invertIfNegative val="0"/>
          <c:cat>
            <c:strRef>
              <c:f>'Vélo - résumé'!$A$20:$A$38</c:f>
              <c:strCache>
                <c:ptCount val="19"/>
                <c:pt idx="0">
                  <c:v>Ahuntsic-Cartierville</c:v>
                </c:pt>
                <c:pt idx="1">
                  <c:v>Anjou, Quebec</c:v>
                </c:pt>
                <c:pt idx="2">
                  <c:v>Côte-des-Neiges–Notre-Dame-de-Grâce</c:v>
                </c:pt>
                <c:pt idx="3">
                  <c:v>L'Île-Bizard–Sainte-Geneviève</c:v>
                </c:pt>
                <c:pt idx="4">
                  <c:v>Lachine, Quebec</c:v>
                </c:pt>
                <c:pt idx="5">
                  <c:v>LaSalle, Quebec</c:v>
                </c:pt>
                <c:pt idx="6">
                  <c:v>Mercier–Hochelaga-Maisonneuve</c:v>
                </c:pt>
                <c:pt idx="7">
                  <c:v>Montréal-Nord</c:v>
                </c:pt>
                <c:pt idx="8">
                  <c:v>Outremont, Quebec</c:v>
                </c:pt>
                <c:pt idx="9">
                  <c:v>Pierrefonds-Roxboro</c:v>
                </c:pt>
                <c:pt idx="10">
                  <c:v>Le Plateau-Mont-Royal</c:v>
                </c:pt>
                <c:pt idx="11">
                  <c:v>Rivière-des-Prairies–Pointe-aux-Trembles</c:v>
                </c:pt>
                <c:pt idx="12">
                  <c:v>Rosemont–La Petite-Patrie</c:v>
                </c:pt>
                <c:pt idx="13">
                  <c:v>Saint-Laurent, Quebec</c:v>
                </c:pt>
                <c:pt idx="14">
                  <c:v>Saint-Leonard, Quebec</c:v>
                </c:pt>
                <c:pt idx="15">
                  <c:v>Le Sud-Ouest</c:v>
                </c:pt>
                <c:pt idx="16">
                  <c:v>Verdun, Quebec</c:v>
                </c:pt>
                <c:pt idx="17">
                  <c:v>Ville-Marie, Montreal</c:v>
                </c:pt>
                <c:pt idx="18">
                  <c:v>Villeray–Saint-Michel–Parc-Extension</c:v>
                </c:pt>
              </c:strCache>
            </c:strRef>
          </c:cat>
          <c:val>
            <c:numRef>
              <c:f>'Vélo - résumé'!$F$20:$F$38</c:f>
              <c:numCache>
                <c:formatCode>_("$"* #,##0.00_);_("$"* \(#,##0.00\);_("$"* "-"??_);_(@_)</c:formatCode>
                <c:ptCount val="19"/>
                <c:pt idx="0">
                  <c:v>781.63553773200056</c:v>
                </c:pt>
                <c:pt idx="1">
                  <c:v>435.88685330394406</c:v>
                </c:pt>
                <c:pt idx="2">
                  <c:v>384.40921736538758</c:v>
                </c:pt>
                <c:pt idx="3">
                  <c:v>626.94450677745783</c:v>
                </c:pt>
                <c:pt idx="4">
                  <c:v>1103.4430451051132</c:v>
                </c:pt>
                <c:pt idx="5">
                  <c:v>1042.1602405389851</c:v>
                </c:pt>
                <c:pt idx="6">
                  <c:v>452.98625234378568</c:v>
                </c:pt>
                <c:pt idx="7">
                  <c:v>784.59539825388811</c:v>
                </c:pt>
                <c:pt idx="8">
                  <c:v>844.27052324009628</c:v>
                </c:pt>
                <c:pt idx="9">
                  <c:v>1682.53029821984</c:v>
                </c:pt>
                <c:pt idx="10">
                  <c:v>805.58906524913641</c:v>
                </c:pt>
                <c:pt idx="11">
                  <c:v>2793.0470547516356</c:v>
                </c:pt>
                <c:pt idx="12">
                  <c:v>705.66031005689013</c:v>
                </c:pt>
                <c:pt idx="13">
                  <c:v>467.27199847394786</c:v>
                </c:pt>
                <c:pt idx="14">
                  <c:v>1745.7703897956451</c:v>
                </c:pt>
                <c:pt idx="15">
                  <c:v>664.51861773845224</c:v>
                </c:pt>
                <c:pt idx="16">
                  <c:v>1532.8425101464807</c:v>
                </c:pt>
                <c:pt idx="17">
                  <c:v>1122.5433932510539</c:v>
                </c:pt>
                <c:pt idx="18">
                  <c:v>361.58571137868773</c:v>
                </c:pt>
              </c:numCache>
            </c:numRef>
          </c:val>
          <c:extLst>
            <c:ext xmlns:c16="http://schemas.microsoft.com/office/drawing/2014/chart" uri="{C3380CC4-5D6E-409C-BE32-E72D297353CC}">
              <c16:uniqueId val="{00000004-4F0A-ED4E-8F37-E40735822F48}"/>
            </c:ext>
          </c:extLst>
        </c:ser>
        <c:ser>
          <c:idx val="5"/>
          <c:order val="5"/>
          <c:tx>
            <c:v>Bénéfice santé</c:v>
          </c:tx>
          <c:spPr>
            <a:solidFill>
              <a:schemeClr val="accent6"/>
            </a:solidFill>
            <a:ln>
              <a:noFill/>
            </a:ln>
            <a:effectLst/>
          </c:spPr>
          <c:invertIfNegative val="0"/>
          <c:cat>
            <c:strRef>
              <c:f>'Vélo - résumé'!$A$20:$A$38</c:f>
              <c:strCache>
                <c:ptCount val="19"/>
                <c:pt idx="0">
                  <c:v>Ahuntsic-Cartierville</c:v>
                </c:pt>
                <c:pt idx="1">
                  <c:v>Anjou, Quebec</c:v>
                </c:pt>
                <c:pt idx="2">
                  <c:v>Côte-des-Neiges–Notre-Dame-de-Grâce</c:v>
                </c:pt>
                <c:pt idx="3">
                  <c:v>L'Île-Bizard–Sainte-Geneviève</c:v>
                </c:pt>
                <c:pt idx="4">
                  <c:v>Lachine, Quebec</c:v>
                </c:pt>
                <c:pt idx="5">
                  <c:v>LaSalle, Quebec</c:v>
                </c:pt>
                <c:pt idx="6">
                  <c:v>Mercier–Hochelaga-Maisonneuve</c:v>
                </c:pt>
                <c:pt idx="7">
                  <c:v>Montréal-Nord</c:v>
                </c:pt>
                <c:pt idx="8">
                  <c:v>Outremont, Quebec</c:v>
                </c:pt>
                <c:pt idx="9">
                  <c:v>Pierrefonds-Roxboro</c:v>
                </c:pt>
                <c:pt idx="10">
                  <c:v>Le Plateau-Mont-Royal</c:v>
                </c:pt>
                <c:pt idx="11">
                  <c:v>Rivière-des-Prairies–Pointe-aux-Trembles</c:v>
                </c:pt>
                <c:pt idx="12">
                  <c:v>Rosemont–La Petite-Patrie</c:v>
                </c:pt>
                <c:pt idx="13">
                  <c:v>Saint-Laurent, Quebec</c:v>
                </c:pt>
                <c:pt idx="14">
                  <c:v>Saint-Leonard, Quebec</c:v>
                </c:pt>
                <c:pt idx="15">
                  <c:v>Le Sud-Ouest</c:v>
                </c:pt>
                <c:pt idx="16">
                  <c:v>Verdun, Quebec</c:v>
                </c:pt>
                <c:pt idx="17">
                  <c:v>Ville-Marie, Montreal</c:v>
                </c:pt>
                <c:pt idx="18">
                  <c:v>Villeray–Saint-Michel–Parc-Extension</c:v>
                </c:pt>
              </c:strCache>
            </c:strRef>
          </c:cat>
          <c:val>
            <c:numRef>
              <c:f>'Vélo - résumé'!$G$20:$G$38</c:f>
              <c:numCache>
                <c:formatCode>_("$"* #,##0.00_);_("$"* \(#,##0.00\);_("$"* "-"??_);_(@_)</c:formatCode>
                <c:ptCount val="19"/>
                <c:pt idx="0">
                  <c:v>-2411.4967526803694</c:v>
                </c:pt>
                <c:pt idx="1">
                  <c:v>-3355.9392600925698</c:v>
                </c:pt>
                <c:pt idx="2">
                  <c:v>-2041.6500041553102</c:v>
                </c:pt>
                <c:pt idx="3">
                  <c:v>-3098.0016388531517</c:v>
                </c:pt>
                <c:pt idx="4">
                  <c:v>-2845.3332107749757</c:v>
                </c:pt>
                <c:pt idx="5">
                  <c:v>-2810.0328693214001</c:v>
                </c:pt>
                <c:pt idx="6">
                  <c:v>-1989.040986616521</c:v>
                </c:pt>
                <c:pt idx="7">
                  <c:v>-3499.4431335334916</c:v>
                </c:pt>
                <c:pt idx="8">
                  <c:v>-1686.3119660482444</c:v>
                </c:pt>
                <c:pt idx="9">
                  <c:v>-1296.141621445855</c:v>
                </c:pt>
                <c:pt idx="10">
                  <c:v>-1481.7056157964957</c:v>
                </c:pt>
                <c:pt idx="11">
                  <c:v>-3660.1064263806848</c:v>
                </c:pt>
                <c:pt idx="12">
                  <c:v>-1886.3267408681254</c:v>
                </c:pt>
                <c:pt idx="13">
                  <c:v>-1645.5461581824009</c:v>
                </c:pt>
                <c:pt idx="14">
                  <c:v>-1923.5557257156165</c:v>
                </c:pt>
                <c:pt idx="15">
                  <c:v>-1591.5241281801432</c:v>
                </c:pt>
                <c:pt idx="16">
                  <c:v>-2980.0285241482375</c:v>
                </c:pt>
                <c:pt idx="17">
                  <c:v>-1429.6914879397159</c:v>
                </c:pt>
                <c:pt idx="18">
                  <c:v>-1947.424311112334</c:v>
                </c:pt>
              </c:numCache>
            </c:numRef>
          </c:val>
          <c:extLst>
            <c:ext xmlns:c16="http://schemas.microsoft.com/office/drawing/2014/chart" uri="{C3380CC4-5D6E-409C-BE32-E72D297353CC}">
              <c16:uniqueId val="{00000005-4F0A-ED4E-8F37-E40735822F48}"/>
            </c:ext>
          </c:extLst>
        </c:ser>
        <c:dLbls>
          <c:showLegendKey val="0"/>
          <c:showVal val="0"/>
          <c:showCatName val="0"/>
          <c:showSerName val="0"/>
          <c:showPercent val="0"/>
          <c:showBubbleSize val="0"/>
        </c:dLbls>
        <c:gapWidth val="150"/>
        <c:overlap val="100"/>
        <c:axId val="1375568352"/>
        <c:axId val="1479628272"/>
      </c:barChart>
      <c:catAx>
        <c:axId val="1375568352"/>
        <c:scaling>
          <c:orientation val="minMax"/>
        </c:scaling>
        <c:delete val="0"/>
        <c:axPos val="b"/>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79628272"/>
        <c:crosses val="autoZero"/>
        <c:auto val="1"/>
        <c:lblAlgn val="ctr"/>
        <c:lblOffset val="100"/>
        <c:noMultiLvlLbl val="0"/>
      </c:catAx>
      <c:valAx>
        <c:axId val="1479628272"/>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00_);_(&quot;$&quot;* \(#,##0.00\);_(&quot;$&quot;*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375568352"/>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Distribution des coûts sociaux par</a:t>
            </a:r>
            <a:r>
              <a:rPr lang="en-US" baseline="0"/>
              <a:t> municipalité/arrondissement</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5.3456413618553709E-2"/>
          <c:y val="0.51329286964129484"/>
          <c:w val="0.93545607421089327"/>
          <c:h val="0.3931463254593176"/>
        </c:manualLayout>
      </c:layout>
      <c:barChart>
        <c:barDir val="col"/>
        <c:grouping val="percentStacked"/>
        <c:varyColors val="0"/>
        <c:ser>
          <c:idx val="3"/>
          <c:order val="0"/>
          <c:tx>
            <c:v>Marche</c:v>
          </c:tx>
          <c:spPr>
            <a:solidFill>
              <a:schemeClr val="accent4"/>
            </a:solidFill>
            <a:ln>
              <a:noFill/>
            </a:ln>
            <a:effectLst/>
          </c:spPr>
          <c:invertIfNegative val="0"/>
          <c:cat>
            <c:strRef>
              <c:f>'Distributions de coûts - graphs'!$A$4:$A$38</c:f>
              <c:strCache>
                <c:ptCount val="35"/>
                <c:pt idx="0">
                  <c:v>Agglomération de Montréal</c:v>
                </c:pt>
                <c:pt idx="1">
                  <c:v>Baie-D'Urfé</c:v>
                </c:pt>
                <c:pt idx="2">
                  <c:v>Beaconsfield, Quebec</c:v>
                </c:pt>
                <c:pt idx="3">
                  <c:v>Côte Saint-Luc</c:v>
                </c:pt>
                <c:pt idx="4">
                  <c:v>Dollard-des-Ormeaux</c:v>
                </c:pt>
                <c:pt idx="5">
                  <c:v>Dorval</c:v>
                </c:pt>
                <c:pt idx="6">
                  <c:v>Hampstead, Quebec</c:v>
                </c:pt>
                <c:pt idx="7">
                  <c:v>Kirkland, Quebec</c:v>
                </c:pt>
                <c:pt idx="8">
                  <c:v>Montreal</c:v>
                </c:pt>
                <c:pt idx="9">
                  <c:v>Montréal-Est, Quebec</c:v>
                </c:pt>
                <c:pt idx="10">
                  <c:v>Montreal West, Quebec</c:v>
                </c:pt>
                <c:pt idx="11">
                  <c:v>Mount Royal, Quebec</c:v>
                </c:pt>
                <c:pt idx="12">
                  <c:v>Pointe-Claire</c:v>
                </c:pt>
                <c:pt idx="13">
                  <c:v>Sainte-Anne-de-Bellevue</c:v>
                </c:pt>
                <c:pt idx="14">
                  <c:v>Senneville, Quebec</c:v>
                </c:pt>
                <c:pt idx="15">
                  <c:v>Westmount</c:v>
                </c:pt>
                <c:pt idx="16">
                  <c:v>Arrondissements</c:v>
                </c:pt>
                <c:pt idx="17">
                  <c:v>Ahuntsic-Cartierville</c:v>
                </c:pt>
                <c:pt idx="18">
                  <c:v>Anjou, Quebec</c:v>
                </c:pt>
                <c:pt idx="19">
                  <c:v>Côte-des-Neiges–Notre-Dame-de-Grâce</c:v>
                </c:pt>
                <c:pt idx="20">
                  <c:v>L'Île-Bizard–Sainte-Geneviève</c:v>
                </c:pt>
                <c:pt idx="21">
                  <c:v>Lachine, Quebec</c:v>
                </c:pt>
                <c:pt idx="22">
                  <c:v>LaSalle, Quebec</c:v>
                </c:pt>
                <c:pt idx="23">
                  <c:v>Mercier–Hochelaga-Maisonneuve</c:v>
                </c:pt>
                <c:pt idx="24">
                  <c:v>Montréal-Nord</c:v>
                </c:pt>
                <c:pt idx="25">
                  <c:v>Outremont, Quebec</c:v>
                </c:pt>
                <c:pt idx="26">
                  <c:v>Pierrefonds-Roxboro</c:v>
                </c:pt>
                <c:pt idx="27">
                  <c:v>Le Plateau-Mont-Royal</c:v>
                </c:pt>
                <c:pt idx="28">
                  <c:v>Rivière-des-Prairies–Pointe-aux-Trembles</c:v>
                </c:pt>
                <c:pt idx="29">
                  <c:v>Rosemont–La Petite-Patrie</c:v>
                </c:pt>
                <c:pt idx="30">
                  <c:v>Saint-Laurent, Quebec</c:v>
                </c:pt>
                <c:pt idx="31">
                  <c:v>Saint-Leonard, Quebec</c:v>
                </c:pt>
                <c:pt idx="32">
                  <c:v>Le Sud-Ouest</c:v>
                </c:pt>
                <c:pt idx="33">
                  <c:v>Verdun, Quebec</c:v>
                </c:pt>
                <c:pt idx="34">
                  <c:v>Ville-Marie, Montreal</c:v>
                </c:pt>
              </c:strCache>
            </c:strRef>
          </c:cat>
          <c:val>
            <c:numRef>
              <c:f>'Distributions de coûts - graphs'!$E$4:$E$38</c:f>
              <c:numCache>
                <c:formatCode>_("$"* #,##0.00_);_("$"* \(#,##0.00\);_("$"* "-"??_);_(@_)</c:formatCode>
                <c:ptCount val="35"/>
                <c:pt idx="0">
                  <c:v>-4.8869972024744024E-2</c:v>
                </c:pt>
                <c:pt idx="1">
                  <c:v>-0.70611646933063588</c:v>
                </c:pt>
                <c:pt idx="2">
                  <c:v>-0.90635782420415445</c:v>
                </c:pt>
                <c:pt idx="3">
                  <c:v>-0.50969816537815327</c:v>
                </c:pt>
                <c:pt idx="4">
                  <c:v>-0.98762462825377439</c:v>
                </c:pt>
                <c:pt idx="5">
                  <c:v>-0.81289758235182585</c:v>
                </c:pt>
                <c:pt idx="6">
                  <c:v>2.1832038403386509</c:v>
                </c:pt>
                <c:pt idx="7">
                  <c:v>-0.99701496212105789</c:v>
                </c:pt>
                <c:pt idx="8">
                  <c:v>-6.5494346800985398E-2</c:v>
                </c:pt>
                <c:pt idx="9">
                  <c:v>-6.1461674285971414E-2</c:v>
                </c:pt>
                <c:pt idx="10">
                  <c:v>1.193431412791689</c:v>
                </c:pt>
                <c:pt idx="11">
                  <c:v>0.92857377514173312</c:v>
                </c:pt>
                <c:pt idx="12">
                  <c:v>-0.53091737461229671</c:v>
                </c:pt>
                <c:pt idx="13">
                  <c:v>-0.75690685651512268</c:v>
                </c:pt>
                <c:pt idx="14">
                  <c:v>0</c:v>
                </c:pt>
                <c:pt idx="15">
                  <c:v>1.5401370998370485</c:v>
                </c:pt>
                <c:pt idx="17">
                  <c:v>-6.9294341075657989E-2</c:v>
                </c:pt>
                <c:pt idx="18">
                  <c:v>-0.43358252006748621</c:v>
                </c:pt>
                <c:pt idx="19">
                  <c:v>-0.41332007241784724</c:v>
                </c:pt>
                <c:pt idx="20">
                  <c:v>-0.8501583039819719</c:v>
                </c:pt>
                <c:pt idx="21">
                  <c:v>-0.12349872836889202</c:v>
                </c:pt>
                <c:pt idx="22">
                  <c:v>-0.14127368709077898</c:v>
                </c:pt>
                <c:pt idx="23">
                  <c:v>-0.3961187774132614</c:v>
                </c:pt>
                <c:pt idx="24">
                  <c:v>-0.26919699831120436</c:v>
                </c:pt>
                <c:pt idx="25">
                  <c:v>0.44030421521033763</c:v>
                </c:pt>
                <c:pt idx="26">
                  <c:v>-0.88292489376941607</c:v>
                </c:pt>
                <c:pt idx="27">
                  <c:v>0.17024096056379695</c:v>
                </c:pt>
                <c:pt idx="28">
                  <c:v>-0.54825201518315692</c:v>
                </c:pt>
                <c:pt idx="29">
                  <c:v>0.1421915591803245</c:v>
                </c:pt>
                <c:pt idx="30">
                  <c:v>-0.58019852881554679</c:v>
                </c:pt>
                <c:pt idx="31">
                  <c:v>-0.17810149797285948</c:v>
                </c:pt>
                <c:pt idx="32">
                  <c:v>-0.3818383036311998</c:v>
                </c:pt>
                <c:pt idx="33">
                  <c:v>-0.18607088466002925</c:v>
                </c:pt>
                <c:pt idx="34">
                  <c:v>0.54256513962258379</c:v>
                </c:pt>
              </c:numCache>
            </c:numRef>
          </c:val>
          <c:extLst>
            <c:ext xmlns:c16="http://schemas.microsoft.com/office/drawing/2014/chart" uri="{C3380CC4-5D6E-409C-BE32-E72D297353CC}">
              <c16:uniqueId val="{00000003-FF0D-184B-806A-F0ABFCC80584}"/>
            </c:ext>
          </c:extLst>
        </c:ser>
        <c:ser>
          <c:idx val="0"/>
          <c:order val="1"/>
          <c:tx>
            <c:v>Auto</c:v>
          </c:tx>
          <c:spPr>
            <a:solidFill>
              <a:schemeClr val="accent2"/>
            </a:solidFill>
            <a:ln>
              <a:noFill/>
            </a:ln>
            <a:effectLst/>
          </c:spPr>
          <c:invertIfNegative val="0"/>
          <c:cat>
            <c:strRef>
              <c:f>'Distributions de coûts - graphs'!$A$4:$A$38</c:f>
              <c:strCache>
                <c:ptCount val="35"/>
                <c:pt idx="0">
                  <c:v>Agglomération de Montréal</c:v>
                </c:pt>
                <c:pt idx="1">
                  <c:v>Baie-D'Urfé</c:v>
                </c:pt>
                <c:pt idx="2">
                  <c:v>Beaconsfield, Quebec</c:v>
                </c:pt>
                <c:pt idx="3">
                  <c:v>Côte Saint-Luc</c:v>
                </c:pt>
                <c:pt idx="4">
                  <c:v>Dollard-des-Ormeaux</c:v>
                </c:pt>
                <c:pt idx="5">
                  <c:v>Dorval</c:v>
                </c:pt>
                <c:pt idx="6">
                  <c:v>Hampstead, Quebec</c:v>
                </c:pt>
                <c:pt idx="7">
                  <c:v>Kirkland, Quebec</c:v>
                </c:pt>
                <c:pt idx="8">
                  <c:v>Montreal</c:v>
                </c:pt>
                <c:pt idx="9">
                  <c:v>Montréal-Est, Quebec</c:v>
                </c:pt>
                <c:pt idx="10">
                  <c:v>Montreal West, Quebec</c:v>
                </c:pt>
                <c:pt idx="11">
                  <c:v>Mount Royal, Quebec</c:v>
                </c:pt>
                <c:pt idx="12">
                  <c:v>Pointe-Claire</c:v>
                </c:pt>
                <c:pt idx="13">
                  <c:v>Sainte-Anne-de-Bellevue</c:v>
                </c:pt>
                <c:pt idx="14">
                  <c:v>Senneville, Quebec</c:v>
                </c:pt>
                <c:pt idx="15">
                  <c:v>Westmount</c:v>
                </c:pt>
                <c:pt idx="16">
                  <c:v>Arrondissements</c:v>
                </c:pt>
                <c:pt idx="17">
                  <c:v>Ahuntsic-Cartierville</c:v>
                </c:pt>
                <c:pt idx="18">
                  <c:v>Anjou, Quebec</c:v>
                </c:pt>
                <c:pt idx="19">
                  <c:v>Côte-des-Neiges–Notre-Dame-de-Grâce</c:v>
                </c:pt>
                <c:pt idx="20">
                  <c:v>L'Île-Bizard–Sainte-Geneviève</c:v>
                </c:pt>
                <c:pt idx="21">
                  <c:v>Lachine, Quebec</c:v>
                </c:pt>
                <c:pt idx="22">
                  <c:v>LaSalle, Quebec</c:v>
                </c:pt>
                <c:pt idx="23">
                  <c:v>Mercier–Hochelaga-Maisonneuve</c:v>
                </c:pt>
                <c:pt idx="24">
                  <c:v>Montréal-Nord</c:v>
                </c:pt>
                <c:pt idx="25">
                  <c:v>Outremont, Quebec</c:v>
                </c:pt>
                <c:pt idx="26">
                  <c:v>Pierrefonds-Roxboro</c:v>
                </c:pt>
                <c:pt idx="27">
                  <c:v>Le Plateau-Mont-Royal</c:v>
                </c:pt>
                <c:pt idx="28">
                  <c:v>Rivière-des-Prairies–Pointe-aux-Trembles</c:v>
                </c:pt>
                <c:pt idx="29">
                  <c:v>Rosemont–La Petite-Patrie</c:v>
                </c:pt>
                <c:pt idx="30">
                  <c:v>Saint-Laurent, Quebec</c:v>
                </c:pt>
                <c:pt idx="31">
                  <c:v>Saint-Leonard, Quebec</c:v>
                </c:pt>
                <c:pt idx="32">
                  <c:v>Le Sud-Ouest</c:v>
                </c:pt>
                <c:pt idx="33">
                  <c:v>Verdun, Quebec</c:v>
                </c:pt>
                <c:pt idx="34">
                  <c:v>Ville-Marie, Montreal</c:v>
                </c:pt>
              </c:strCache>
            </c:strRef>
          </c:cat>
          <c:val>
            <c:numRef>
              <c:f>'Distributions de coûts - graphs'!$B$4:$B$38</c:f>
              <c:numCache>
                <c:formatCode>_("$"* #,##0.00_);_("$"* \(#,##0.00\);_("$"* "-"??_);_(@_)</c:formatCode>
                <c:ptCount val="35"/>
                <c:pt idx="0">
                  <c:v>1.5067195753171416</c:v>
                </c:pt>
                <c:pt idx="1">
                  <c:v>1.2598217807869876</c:v>
                </c:pt>
                <c:pt idx="2">
                  <c:v>0.87100989999438283</c:v>
                </c:pt>
                <c:pt idx="3">
                  <c:v>1.6217871706741231</c:v>
                </c:pt>
                <c:pt idx="4">
                  <c:v>1.0454899643330842</c:v>
                </c:pt>
                <c:pt idx="5">
                  <c:v>1.2359024473745837</c:v>
                </c:pt>
                <c:pt idx="6">
                  <c:v>3.4507739323373787</c:v>
                </c:pt>
                <c:pt idx="7">
                  <c:v>0.9549624194379156</c:v>
                </c:pt>
                <c:pt idx="8">
                  <c:v>1.5444594445807331</c:v>
                </c:pt>
                <c:pt idx="9">
                  <c:v>1.6772693888804988</c:v>
                </c:pt>
                <c:pt idx="10">
                  <c:v>1.8418870209436879</c:v>
                </c:pt>
                <c:pt idx="11">
                  <c:v>2.5211762412478063</c:v>
                </c:pt>
                <c:pt idx="12">
                  <c:v>1.2894177791144674</c:v>
                </c:pt>
                <c:pt idx="13">
                  <c:v>0.7649389795488607</c:v>
                </c:pt>
                <c:pt idx="14">
                  <c:v>0.65751879240060007</c:v>
                </c:pt>
                <c:pt idx="15">
                  <c:v>3.5392135230841202</c:v>
                </c:pt>
                <c:pt idx="17">
                  <c:v>1.6842319593411221</c:v>
                </c:pt>
                <c:pt idx="18">
                  <c:v>1.5157207734336606</c:v>
                </c:pt>
                <c:pt idx="19">
                  <c:v>1.7896145997331314</c:v>
                </c:pt>
                <c:pt idx="20">
                  <c:v>0.89147458424195214</c:v>
                </c:pt>
                <c:pt idx="21">
                  <c:v>1.3399231097268138</c:v>
                </c:pt>
                <c:pt idx="22">
                  <c:v>1.3902359437835583</c:v>
                </c:pt>
                <c:pt idx="23">
                  <c:v>1.5869623500784857</c:v>
                </c:pt>
                <c:pt idx="24">
                  <c:v>1.554237290096274</c:v>
                </c:pt>
                <c:pt idx="25">
                  <c:v>2.6925823835346447</c:v>
                </c:pt>
                <c:pt idx="26">
                  <c:v>1.0621223579493451</c:v>
                </c:pt>
                <c:pt idx="27">
                  <c:v>2.2398191124753128</c:v>
                </c:pt>
                <c:pt idx="28">
                  <c:v>1.1399740890430707</c:v>
                </c:pt>
                <c:pt idx="29">
                  <c:v>1.9536416474405687</c:v>
                </c:pt>
                <c:pt idx="30">
                  <c:v>1.5632693296051061</c:v>
                </c:pt>
                <c:pt idx="31">
                  <c:v>1.6957973487755382</c:v>
                </c:pt>
                <c:pt idx="32">
                  <c:v>1.4179756614670129</c:v>
                </c:pt>
                <c:pt idx="33">
                  <c:v>1.363877708286322</c:v>
                </c:pt>
                <c:pt idx="34">
                  <c:v>2.356853280801154</c:v>
                </c:pt>
              </c:numCache>
            </c:numRef>
          </c:val>
          <c:extLst>
            <c:ext xmlns:c16="http://schemas.microsoft.com/office/drawing/2014/chart" uri="{C3380CC4-5D6E-409C-BE32-E72D297353CC}">
              <c16:uniqueId val="{00000000-FF0D-184B-806A-F0ABFCC80584}"/>
            </c:ext>
          </c:extLst>
        </c:ser>
        <c:ser>
          <c:idx val="1"/>
          <c:order val="2"/>
          <c:tx>
            <c:v>Transport Collectif</c:v>
          </c:tx>
          <c:spPr>
            <a:solidFill>
              <a:srgbClr val="0070C0"/>
            </a:solidFill>
            <a:ln>
              <a:noFill/>
            </a:ln>
            <a:effectLst/>
          </c:spPr>
          <c:invertIfNegative val="0"/>
          <c:cat>
            <c:strRef>
              <c:f>'Distributions de coûts - graphs'!$A$4:$A$38</c:f>
              <c:strCache>
                <c:ptCount val="35"/>
                <c:pt idx="0">
                  <c:v>Agglomération de Montréal</c:v>
                </c:pt>
                <c:pt idx="1">
                  <c:v>Baie-D'Urfé</c:v>
                </c:pt>
                <c:pt idx="2">
                  <c:v>Beaconsfield, Quebec</c:v>
                </c:pt>
                <c:pt idx="3">
                  <c:v>Côte Saint-Luc</c:v>
                </c:pt>
                <c:pt idx="4">
                  <c:v>Dollard-des-Ormeaux</c:v>
                </c:pt>
                <c:pt idx="5">
                  <c:v>Dorval</c:v>
                </c:pt>
                <c:pt idx="6">
                  <c:v>Hampstead, Quebec</c:v>
                </c:pt>
                <c:pt idx="7">
                  <c:v>Kirkland, Quebec</c:v>
                </c:pt>
                <c:pt idx="8">
                  <c:v>Montreal</c:v>
                </c:pt>
                <c:pt idx="9">
                  <c:v>Montréal-Est, Quebec</c:v>
                </c:pt>
                <c:pt idx="10">
                  <c:v>Montreal West, Quebec</c:v>
                </c:pt>
                <c:pt idx="11">
                  <c:v>Mount Royal, Quebec</c:v>
                </c:pt>
                <c:pt idx="12">
                  <c:v>Pointe-Claire</c:v>
                </c:pt>
                <c:pt idx="13">
                  <c:v>Sainte-Anne-de-Bellevue</c:v>
                </c:pt>
                <c:pt idx="14">
                  <c:v>Senneville, Quebec</c:v>
                </c:pt>
                <c:pt idx="15">
                  <c:v>Westmount</c:v>
                </c:pt>
                <c:pt idx="16">
                  <c:v>Arrondissements</c:v>
                </c:pt>
                <c:pt idx="17">
                  <c:v>Ahuntsic-Cartierville</c:v>
                </c:pt>
                <c:pt idx="18">
                  <c:v>Anjou, Quebec</c:v>
                </c:pt>
                <c:pt idx="19">
                  <c:v>Côte-des-Neiges–Notre-Dame-de-Grâce</c:v>
                </c:pt>
                <c:pt idx="20">
                  <c:v>L'Île-Bizard–Sainte-Geneviève</c:v>
                </c:pt>
                <c:pt idx="21">
                  <c:v>Lachine, Quebec</c:v>
                </c:pt>
                <c:pt idx="22">
                  <c:v>LaSalle, Quebec</c:v>
                </c:pt>
                <c:pt idx="23">
                  <c:v>Mercier–Hochelaga-Maisonneuve</c:v>
                </c:pt>
                <c:pt idx="24">
                  <c:v>Montréal-Nord</c:v>
                </c:pt>
                <c:pt idx="25">
                  <c:v>Outremont, Quebec</c:v>
                </c:pt>
                <c:pt idx="26">
                  <c:v>Pierrefonds-Roxboro</c:v>
                </c:pt>
                <c:pt idx="27">
                  <c:v>Le Plateau-Mont-Royal</c:v>
                </c:pt>
                <c:pt idx="28">
                  <c:v>Rivière-des-Prairies–Pointe-aux-Trembles</c:v>
                </c:pt>
                <c:pt idx="29">
                  <c:v>Rosemont–La Petite-Patrie</c:v>
                </c:pt>
                <c:pt idx="30">
                  <c:v>Saint-Laurent, Quebec</c:v>
                </c:pt>
                <c:pt idx="31">
                  <c:v>Saint-Leonard, Quebec</c:v>
                </c:pt>
                <c:pt idx="32">
                  <c:v>Le Sud-Ouest</c:v>
                </c:pt>
                <c:pt idx="33">
                  <c:v>Verdun, Quebec</c:v>
                </c:pt>
                <c:pt idx="34">
                  <c:v>Ville-Marie, Montreal</c:v>
                </c:pt>
              </c:strCache>
            </c:strRef>
          </c:cat>
          <c:val>
            <c:numRef>
              <c:f>'Distributions de coûts - graphs'!$C$4:$C$38</c:f>
              <c:numCache>
                <c:formatCode>_("$"* #,##0.00_);_("$"* \(#,##0.00\);_("$"* "-"??_);_(@_)</c:formatCode>
                <c:ptCount val="35"/>
                <c:pt idx="0">
                  <c:v>0.50928028048363583</c:v>
                </c:pt>
                <c:pt idx="1">
                  <c:v>0.4797988956807816</c:v>
                </c:pt>
                <c:pt idx="2">
                  <c:v>0.27131713633766741</c:v>
                </c:pt>
                <c:pt idx="3">
                  <c:v>0.47006705943319027</c:v>
                </c:pt>
                <c:pt idx="4">
                  <c:v>0.28396912811591851</c:v>
                </c:pt>
                <c:pt idx="5">
                  <c:v>0.57199223782418096</c:v>
                </c:pt>
                <c:pt idx="6">
                  <c:v>0.8413162897094717</c:v>
                </c:pt>
                <c:pt idx="7">
                  <c:v>0.37243230604135769</c:v>
                </c:pt>
                <c:pt idx="8">
                  <c:v>0.51050093297354593</c:v>
                </c:pt>
                <c:pt idx="9">
                  <c:v>0.22529472083743096</c:v>
                </c:pt>
                <c:pt idx="10">
                  <c:v>0.68191306492486392</c:v>
                </c:pt>
                <c:pt idx="11">
                  <c:v>0.94161228913199424</c:v>
                </c:pt>
                <c:pt idx="12">
                  <c:v>0.46811237212232337</c:v>
                </c:pt>
                <c:pt idx="13">
                  <c:v>0.36075492352456628</c:v>
                </c:pt>
                <c:pt idx="14">
                  <c:v>0.29241391368291697</c:v>
                </c:pt>
                <c:pt idx="15">
                  <c:v>1.5766523700683304</c:v>
                </c:pt>
                <c:pt idx="17">
                  <c:v>0.46064838310112827</c:v>
                </c:pt>
                <c:pt idx="18">
                  <c:v>0.40806401312902552</c:v>
                </c:pt>
                <c:pt idx="19">
                  <c:v>0.59788917909766037</c:v>
                </c:pt>
                <c:pt idx="20">
                  <c:v>0.24226047959831043</c:v>
                </c:pt>
                <c:pt idx="21">
                  <c:v>0.39593688248318093</c:v>
                </c:pt>
                <c:pt idx="22">
                  <c:v>0.38148511018757053</c:v>
                </c:pt>
                <c:pt idx="23">
                  <c:v>0.45704193106598079</c:v>
                </c:pt>
                <c:pt idx="24">
                  <c:v>0.40220699410512467</c:v>
                </c:pt>
                <c:pt idx="25">
                  <c:v>0.99241115919810241</c:v>
                </c:pt>
                <c:pt idx="26">
                  <c:v>0.24203493101195045</c:v>
                </c:pt>
                <c:pt idx="27">
                  <c:v>0.78418478309140682</c:v>
                </c:pt>
                <c:pt idx="28">
                  <c:v>0.30292312064752214</c:v>
                </c:pt>
                <c:pt idx="29">
                  <c:v>0.64297095235882262</c:v>
                </c:pt>
                <c:pt idx="30">
                  <c:v>0.43152170717492727</c:v>
                </c:pt>
                <c:pt idx="31">
                  <c:v>0.50311441020562231</c:v>
                </c:pt>
                <c:pt idx="32">
                  <c:v>0.58194240466438851</c:v>
                </c:pt>
                <c:pt idx="33">
                  <c:v>0.47645613105473988</c:v>
                </c:pt>
                <c:pt idx="34">
                  <c:v>0.89445570660141405</c:v>
                </c:pt>
              </c:numCache>
            </c:numRef>
          </c:val>
          <c:extLst>
            <c:ext xmlns:c16="http://schemas.microsoft.com/office/drawing/2014/chart" uri="{C3380CC4-5D6E-409C-BE32-E72D297353CC}">
              <c16:uniqueId val="{00000001-FF0D-184B-806A-F0ABFCC80584}"/>
            </c:ext>
          </c:extLst>
        </c:ser>
        <c:ser>
          <c:idx val="2"/>
          <c:order val="3"/>
          <c:tx>
            <c:v>Vélo</c:v>
          </c:tx>
          <c:spPr>
            <a:solidFill>
              <a:srgbClr val="92D050"/>
            </a:solidFill>
            <a:ln>
              <a:noFill/>
            </a:ln>
            <a:effectLst/>
          </c:spPr>
          <c:invertIfNegative val="0"/>
          <c:cat>
            <c:strRef>
              <c:f>'Distributions de coûts - graphs'!$A$4:$A$38</c:f>
              <c:strCache>
                <c:ptCount val="35"/>
                <c:pt idx="0">
                  <c:v>Agglomération de Montréal</c:v>
                </c:pt>
                <c:pt idx="1">
                  <c:v>Baie-D'Urfé</c:v>
                </c:pt>
                <c:pt idx="2">
                  <c:v>Beaconsfield, Quebec</c:v>
                </c:pt>
                <c:pt idx="3">
                  <c:v>Côte Saint-Luc</c:v>
                </c:pt>
                <c:pt idx="4">
                  <c:v>Dollard-des-Ormeaux</c:v>
                </c:pt>
                <c:pt idx="5">
                  <c:v>Dorval</c:v>
                </c:pt>
                <c:pt idx="6">
                  <c:v>Hampstead, Quebec</c:v>
                </c:pt>
                <c:pt idx="7">
                  <c:v>Kirkland, Quebec</c:v>
                </c:pt>
                <c:pt idx="8">
                  <c:v>Montreal</c:v>
                </c:pt>
                <c:pt idx="9">
                  <c:v>Montréal-Est, Quebec</c:v>
                </c:pt>
                <c:pt idx="10">
                  <c:v>Montreal West, Quebec</c:v>
                </c:pt>
                <c:pt idx="11">
                  <c:v>Mount Royal, Quebec</c:v>
                </c:pt>
                <c:pt idx="12">
                  <c:v>Pointe-Claire</c:v>
                </c:pt>
                <c:pt idx="13">
                  <c:v>Sainte-Anne-de-Bellevue</c:v>
                </c:pt>
                <c:pt idx="14">
                  <c:v>Senneville, Quebec</c:v>
                </c:pt>
                <c:pt idx="15">
                  <c:v>Westmount</c:v>
                </c:pt>
                <c:pt idx="16">
                  <c:v>Arrondissements</c:v>
                </c:pt>
                <c:pt idx="17">
                  <c:v>Ahuntsic-Cartierville</c:v>
                </c:pt>
                <c:pt idx="18">
                  <c:v>Anjou, Quebec</c:v>
                </c:pt>
                <c:pt idx="19">
                  <c:v>Côte-des-Neiges–Notre-Dame-de-Grâce</c:v>
                </c:pt>
                <c:pt idx="20">
                  <c:v>L'Île-Bizard–Sainte-Geneviève</c:v>
                </c:pt>
                <c:pt idx="21">
                  <c:v>Lachine, Quebec</c:v>
                </c:pt>
                <c:pt idx="22">
                  <c:v>LaSalle, Quebec</c:v>
                </c:pt>
                <c:pt idx="23">
                  <c:v>Mercier–Hochelaga-Maisonneuve</c:v>
                </c:pt>
                <c:pt idx="24">
                  <c:v>Montréal-Nord</c:v>
                </c:pt>
                <c:pt idx="25">
                  <c:v>Outremont, Quebec</c:v>
                </c:pt>
                <c:pt idx="26">
                  <c:v>Pierrefonds-Roxboro</c:v>
                </c:pt>
                <c:pt idx="27">
                  <c:v>Le Plateau-Mont-Royal</c:v>
                </c:pt>
                <c:pt idx="28">
                  <c:v>Rivière-des-Prairies–Pointe-aux-Trembles</c:v>
                </c:pt>
                <c:pt idx="29">
                  <c:v>Rosemont–La Petite-Patrie</c:v>
                </c:pt>
                <c:pt idx="30">
                  <c:v>Saint-Laurent, Quebec</c:v>
                </c:pt>
                <c:pt idx="31">
                  <c:v>Saint-Leonard, Quebec</c:v>
                </c:pt>
                <c:pt idx="32">
                  <c:v>Le Sud-Ouest</c:v>
                </c:pt>
                <c:pt idx="33">
                  <c:v>Verdun, Quebec</c:v>
                </c:pt>
                <c:pt idx="34">
                  <c:v>Ville-Marie, Montreal</c:v>
                </c:pt>
              </c:strCache>
            </c:strRef>
          </c:cat>
          <c:val>
            <c:numRef>
              <c:f>'Distributions de coûts - graphs'!$D$4:$D$38</c:f>
              <c:numCache>
                <c:formatCode>_("$"* #,##0.00_);_("$"* \(#,##0.00\);_("$"* "-"??_);_(@_)</c:formatCode>
                <c:ptCount val="35"/>
                <c:pt idx="0">
                  <c:v>-0.12939605703662466</c:v>
                </c:pt>
                <c:pt idx="1">
                  <c:v>0.80857731795449517</c:v>
                </c:pt>
                <c:pt idx="2">
                  <c:v>0.47178856229764232</c:v>
                </c:pt>
                <c:pt idx="3">
                  <c:v>-0.13796911081345203</c:v>
                </c:pt>
                <c:pt idx="4">
                  <c:v>1.0439289971577599E-2</c:v>
                </c:pt>
                <c:pt idx="5">
                  <c:v>-0.20267108580676335</c:v>
                </c:pt>
                <c:pt idx="6">
                  <c:v>-0.29375197347041532</c:v>
                </c:pt>
                <c:pt idx="7">
                  <c:v>5.0345030768585319</c:v>
                </c:pt>
                <c:pt idx="8">
                  <c:v>-0.13634656569609888</c:v>
                </c:pt>
                <c:pt idx="9">
                  <c:v>-7.3427821957741002E-2</c:v>
                </c:pt>
                <c:pt idx="10">
                  <c:v>-0.32788189559318304</c:v>
                </c:pt>
                <c:pt idx="11">
                  <c:v>-0.17439349943047541</c:v>
                </c:pt>
                <c:pt idx="12">
                  <c:v>-6.5336597696382254E-2</c:v>
                </c:pt>
                <c:pt idx="13">
                  <c:v>4.1459106429049566</c:v>
                </c:pt>
                <c:pt idx="14">
                  <c:v>-0.65714800048679001</c:v>
                </c:pt>
                <c:pt idx="15">
                  <c:v>0.87230035047474985</c:v>
                </c:pt>
                <c:pt idx="17">
                  <c:v>-0.25576105409327488</c:v>
                </c:pt>
                <c:pt idx="18">
                  <c:v>-0.45797872106714987</c:v>
                </c:pt>
                <c:pt idx="19">
                  <c:v>-0.31203309219115921</c:v>
                </c:pt>
                <c:pt idx="20">
                  <c:v>-0.32205488386419567</c:v>
                </c:pt>
                <c:pt idx="21">
                  <c:v>-0.24192161679953772</c:v>
                </c:pt>
                <c:pt idx="22">
                  <c:v>-0.25476511932457035</c:v>
                </c:pt>
                <c:pt idx="23">
                  <c:v>-0.27658679373650041</c:v>
                </c:pt>
                <c:pt idx="24">
                  <c:v>-0.39499552422770967</c:v>
                </c:pt>
                <c:pt idx="25">
                  <c:v>-3.0025898811341174E-2</c:v>
                </c:pt>
                <c:pt idx="26">
                  <c:v>0.71997911050134988</c:v>
                </c:pt>
                <c:pt idx="27">
                  <c:v>4.7763823529535405E-2</c:v>
                </c:pt>
                <c:pt idx="28">
                  <c:v>1.7639234976636699E-2</c:v>
                </c:pt>
                <c:pt idx="29">
                  <c:v>-0.15503220583104727</c:v>
                </c:pt>
                <c:pt idx="30">
                  <c:v>-0.17705192858563304</c:v>
                </c:pt>
                <c:pt idx="31">
                  <c:v>0.24835583506658185</c:v>
                </c:pt>
                <c:pt idx="32">
                  <c:v>-7.1383796438586139E-2</c:v>
                </c:pt>
                <c:pt idx="33">
                  <c:v>-0.16292971364325856</c:v>
                </c:pt>
                <c:pt idx="34">
                  <c:v>0.23909765512547665</c:v>
                </c:pt>
              </c:numCache>
            </c:numRef>
          </c:val>
          <c:extLst>
            <c:ext xmlns:c16="http://schemas.microsoft.com/office/drawing/2014/chart" uri="{C3380CC4-5D6E-409C-BE32-E72D297353CC}">
              <c16:uniqueId val="{00000002-FF0D-184B-806A-F0ABFCC80584}"/>
            </c:ext>
          </c:extLst>
        </c:ser>
        <c:dLbls>
          <c:showLegendKey val="0"/>
          <c:showVal val="0"/>
          <c:showCatName val="0"/>
          <c:showSerName val="0"/>
          <c:showPercent val="0"/>
          <c:showBubbleSize val="0"/>
        </c:dLbls>
        <c:gapWidth val="150"/>
        <c:overlap val="100"/>
        <c:axId val="345569728"/>
        <c:axId val="345192160"/>
      </c:barChart>
      <c:catAx>
        <c:axId val="345569728"/>
        <c:scaling>
          <c:orientation val="minMax"/>
        </c:scaling>
        <c:delete val="0"/>
        <c:axPos val="b"/>
        <c:numFmt formatCode="General" sourceLinked="1"/>
        <c:majorTickMark val="none"/>
        <c:minorTickMark val="none"/>
        <c:tickLblPos val="high"/>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crossAx val="345192160"/>
        <c:crosses val="autoZero"/>
        <c:auto val="1"/>
        <c:lblAlgn val="ctr"/>
        <c:lblOffset val="400"/>
        <c:noMultiLvlLbl val="0"/>
      </c:catAx>
      <c:valAx>
        <c:axId val="345192160"/>
        <c:scaling>
          <c:orientation val="minMax"/>
        </c:scaling>
        <c:delete val="0"/>
        <c:axPos val="l"/>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34556972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105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Ex1.xml><?xml version="1.0" encoding="utf-8"?>
<cx:chartSpace xmlns:a="http://schemas.openxmlformats.org/drawingml/2006/main" xmlns:r="http://schemas.openxmlformats.org/officeDocument/2006/relationships" xmlns:cx="http://schemas.microsoft.com/office/drawing/2014/chartex">
  <cx:chartData>
    <cx:data id="0">
      <cx:strDim type="entityId">
        <cx:lvl ptCount="33">
          <cx:pt idx="0">5293927752460664833</cx:pt>
          <cx:pt idx="1">5293928192342491139</cx:pt>
          <cx:pt idx="2">5293951599478046721</cx:pt>
          <cx:pt idx="3">5293950800597352449</cx:pt>
          <cx:pt idx="4">5293950806788145153</cx:pt>
          <cx:pt idx="5">5293953081107546113</cx:pt>
          <cx:pt idx="6">5293927382388834305</cx:pt>
          <cx:pt idx="7">5293949338379091969</cx:pt>
          <cx:pt idx="8">5293953144240209921</cx:pt>
          <cx:pt idx="9">5293952808779776001</cx:pt>
          <cx:pt idx="10">5293951900176089089</cx:pt>
          <cx:pt idx="11">5293927712916766721</cx:pt>
          <cx:pt idx="12">5293927654196510721</cx:pt>
          <cx:pt idx="13">5293953213093904388</cx:pt>
          <cx:pt idx="14">5293948341594357761</cx:pt>
          <cx:pt idx="15">5293949681557045249</cx:pt>
          <cx:pt idx="16">5293952870754811905</cx:pt>
          <cx:pt idx="17">5293927036509749249</cx:pt>
          <cx:pt idx="18">5293951640414453761</cx:pt>
          <cx:pt idx="19">5293953942449815553</cx:pt>
          <cx:pt idx="20">5293950146973794306</cx:pt>
          <cx:pt idx="21">5293949508332290049</cx:pt>
          <cx:pt idx="22">5293952843273732097</cx:pt>
          <cx:pt idx="23">5293927195540979713</cx:pt>
          <cx:pt idx="24">5293952979219513350</cx:pt>
          <cx:pt idx="25">5293949265565974529</cx:pt>
          <cx:pt idx="26">5293949940798586884</cx:pt>
          <cx:pt idx="27">5293951227460059137</cx:pt>
          <cx:pt idx="28">5293949699693215745</cx:pt>
          <cx:pt idx="29">5293953279816892417</cx:pt>
          <cx:pt idx="30">5293953317146198018</cx:pt>
          <cx:pt idx="31">5293953341959700483</cx:pt>
          <cx:pt idx="32">5293949906472402945</cx:pt>
        </cx:lvl>
      </cx:strDim>
      <cx:strDim type="cat">
        <cx:f>_xlchart.v6.2</cx:f>
        <cx:nf>_xlchart.v6.0</cx:nf>
      </cx:strDim>
      <cx:numDim type="colorVal">
        <cx:f>_xlchart.v6.3</cx:f>
        <cx:nf>_xlchart.v6.1</cx:nf>
      </cx:numDim>
    </cx:data>
  </cx:chartData>
  <cx:chart>
    <cx:title pos="t" align="ctr" overlay="0">
      <cx:tx>
        <cx:txData>
          <cx:v>Distribution des coûts sociaux de l'automobile ($/personne-année)</cx:v>
        </cx:txData>
      </cx:tx>
      <cx:txPr>
        <a:bodyPr spcFirstLastPara="1" vertOverflow="ellipsis" horzOverflow="overflow" wrap="square" lIns="0" tIns="0" rIns="0" bIns="0" anchor="ctr" anchorCtr="1"/>
        <a:lstStyle/>
        <a:p>
          <a:pPr algn="ctr" rtl="0">
            <a:defRPr/>
          </a:pPr>
          <a:r>
            <a:rPr lang="en-US" sz="1400" b="0" i="0" u="none" strike="noStrike" baseline="0">
              <a:solidFill>
                <a:sysClr val="windowText" lastClr="000000">
                  <a:lumMod val="65000"/>
                  <a:lumOff val="35000"/>
                </a:sysClr>
              </a:solidFill>
              <a:latin typeface="Calibri" panose="020F0502020204030204"/>
            </a:rPr>
            <a:t>Distribution des coûts sociaux de l'automobile ($/personne-année)</a:t>
          </a:r>
        </a:p>
      </cx:txPr>
    </cx:title>
    <cx:plotArea>
      <cx:plotAreaRegion>
        <cx:series layoutId="regionMap" uniqueId="{EB494835-9AD3-784E-8E6F-66F3894CF87F}">
          <cx:dataLabels pos="ctr">
            <cx:visibility seriesName="0" categoryName="0" value="1"/>
          </cx:dataLabels>
          <cx:dataId val="0"/>
          <cx:layoutPr>
            <cx:geography cultureLanguage="en-US" cultureRegion="CA" attribution="Powered by Bing">
              <cx:geoCache provider="{E9337A44-BEBE-4D9F-B70C-5C5E7DAFC167}">
                <cx:binary>5HpHkutI0uZVyt660QURENHW9S88ApIkKJNk5gZGMpnQWmM1d5hLzD3mJnOScVZXd79XXb8Ys9mM
jRHJJFQgEHC4fyL++pj+8siet+anKc+K9i+P6ZdvUddVf/n55/YRPfNb++c8fjRlW351f36U+c/l
11f8eP782dzGuAh/lkWJ/PyIbk33nL7921+xtfBZ8lt3M4su7uZ9/2zmw7Pts679D/f+Ozt/ev7a
zGmunr98y8rHLcNGv/221f385ZsqU4USSkWN6DIRZUrUbz/9/H1rvx3s33Js4hxn2bO5zf/rv/33
4y0uOmET411muLq7NQ/BnLpn0cZl8Z9e4nlru1++CbryZ9XQZEM0ZFlXFezGt5/G5993acQgVKSi
qmuSLtFvPxVl00W/fCMqnqUqsi7hAYqOPW7L/u87ZEUhFE+g2CyV/jGmuzKbw7L4xyj+tv5T0ee7
Eu+k/eWbRsRvP1V/O+4fY6PKhqyLqihpRJEJ7n/cDvjg8HDpT2LVqEIRFbGr9mxWrXjiaedXw56W
27ivrPFLTtxWg6xIWNFshhGKXXeaBkbM1Kms3IyYxgr++tQf5b6KAJcsAumeRFA+BxG6DoZL/NTe
NZUpIcwdJ25wqhOzInYzPg61AEGdQGCPha1eDfybYshOceouoZ36fc3asyDuhM6bIq5clYdmhzeJ
mNJjspoYjIi1rVXMR6nh8SGPNnPO8TuMmWywXjBzDYiXOoLCNG9D8TIym82F0xIEai8DTGuZdW7y
OZ9JBrMZ+nLNRtluM0eJQbEmHraQ7IpT5UrWnIH8Rbx4MbFX9cKCBqQSGpk31A711dA6+J3lDBci
e+VNmwFHlc7YiqxaeGjdWnga7tN0rhVOYzQQLtyYUp6LMC4fzXzB/XjgKJh6ZnXYQ2WNw9GfG2Ej
f1VuKTrEYLG+Egsbl7BfR4tVtW4JRurgzmiX+4aN1/31d9KZ6rVbY2fVa6JG2PkoALlc4TP2pWAb
h/tg5JIlsvqWZpdqABxDPKcPfLwn7AJ9vFotTNxW5CyXsAv1TentLl33Z/xSr+UNb2YU3Yp8KQ2v
3KzZSJZhl8q7JnsxPoP3ZjhLpTdlkGlAGxBLWAgkMVNVq7hrru7rB5LAPLKiA6JcqsKdE25UkHXm
gs+74Thm8jt5r+5P0nFRMdiYcBwDheSQxwqow2emfrT6uqICdKvqMjipXXVQCyofVkp2LTqTZlZC
GEmdfjAX0nA9svBSqbqLhgi04UTiM+kMqEvLSKBpGTXz0MmyqyKVLEjveb6A7mvCZ7Qc4uqtSU7Y
jn6YJ1stHOzU3L+ntiiAmgOuaW6SXZN+11xE4sthY+XCIVn4kjDVr0bJql2psGtqBwqLDmPEowO1
VU/3xMhUvQqiQ34yoF9TP3zmzHgP3g+5xpJt5lM73i2Vj2OXLabR24KNP22Nvin1GYelHiWYeV9g
8ERmnhIwMkvo7mn6FumrCkSrKsxAORcaxPFN+Qo1GcaJwnso7bSexQEGp2vAZPYy6F5ImICxGd/y
ReXUxm0ttTM/GGYmz5eRNzfB7tcV9uOaU5d+BjOPW9ZMXtquqsSu9LV2ICFE5Vrq+CIAGc5V2YNe
f+TZVasEJiWQhd5YLJworqjDHLCx82kF08iW/r00CtC7ihWhIwUhdIMZsEU3K2mVtmyYbHF6vI6V
VoGZd6B0PKC8kFZGb8n1pZvNi9RYi5c3vFwHPXSJi0twNLZlZok15gUeLr6wSclnOIAm8Sh1VFvI
eDObDb54fE0/lH3Ld4LGKzNV8IU2G2INhR8Tk8A0s2TkRsgNCbIMyhJIaIqPYYYiA2Ob3GpMS6AR
06BQnceGk2sBac4G4TW4pUvoW43vV2ROgV+63XlunepW5MfgIQoexkT2EfZXtT+oX5O0IRHXPSmD
ACr8M/DZTGd1jFkRs2lh5WlcRxPW2n4AUTvMQQqKEnIxxtf8tcz4MPtDHsDYbEbtEH4m4jabXvvD
z0izhrPunXumgAKVK1iRrfntal+wwJTvqdXY+VZ0KvYlcIEXLOSZTXnAyg5CxckvxXAadYiwodJq
RtYrxOlBKpgyVTAOAQQNK6cZxPRaDjHM5EPZBePDiEbYi2MC5DDJx7Z/RsplMM5Vwsfeyu/ywTBV
HosQblvpthRsSMzVkkC00WYunD5Dyfy1uP/8N5jxQ0l8lNXcxGH0G874x+q/ncocl7++zvnnxhdQ
+efaJU7j6vkZ335/1A8nYen97cIvfPPDyr+Ane8ByH91538N66gIDySqUl0UiaH8p1hH2Nya+Pkv
cOb3rXwHZyREJpJOqYKI4XdwRlQVomk61YwXZvkOzCiUqgZVFUPViSx/D2eIgUjGIDLiNJlq9P8E
zkgykf4AzygiAidZFlVV0fH+v8czdUSrMU2NyM3cyVKJGQpm5vam7Bn73ixc4dibyQCN4YaiO2RW
jOV4NoPclEcu4guMpylXzR7NZh3s56/rTEqITlG6nrDQr+k21KCSX4tOQbmWgpmcFot4dFtEN2qk
oLtKAkvCE1vd6a40Ar50y6GXzCJZiQlLJdZJK+HT8Ed9L0kWpkHtoKuvkj/xTob4kAWgNlyJD2nq
YiHGAqxOK2q43Vq/RoS1C8OCvjCRDesCX7b+Fg2MXtsbohWxxtXks1S8UHIX1TS86jSbFOi1Omkh
qLtlsvXh9EoTbBlOiU2IHWebSHBUxW+nB/avXyV2ZrcXfQRcQqvYjKtogmoji1A9E12FVOTDW+J1
m/xILsm+2ciXatO8Rft4O6/iY1zA6AgJjB1kT/quso4Z2A6mj96hbvJs71rCZB2oAq979ycByrv+
KZzyCz1NKhNnXidsDiGtItbFK4qn9U7C8L3vIyvTTdlPL7i7JhthRPwIWcIXBfRTgDAt4flFP9Ur
aZffJSxsbPaMDbGHa9K4L0yKlSIooNdYbQc84TVTnNisN7hh0b16AmVV2pmli5BxjaVebSdWZs1v
87P9oBUPK7ZEsGD5hvltuxggPue3eq/VEKtQVuzZstTcHnJW4qfYqk5XwiCzZfQF6dHJh6h2SMhk
s5taLrcQ62D0MwzSRcRKq2PDZQ7Tp2ySguNeyhFZU5aupNP9bt0F0FikMk2BZ9m/P43Pg/x+EBMY
AFSW4MOlBafzW3MIu5NmxFgat/rE1XOpmYYlE+b5s3sLmWKOrmE1kDhYgFwZmoMntMpZyx0MT/pp
hDWWw+0S7ozmmS631KEMsXlCFjDWnT+fqtKkgnYYCh6PIA1rqp4i2ZV5Be86K1Yd2CbeIn8T4Q1k
V/Ap03jNVTNnpxJENprbEMb33Eb4DDphYubqkh+2z1JEkLlpc4dK/jwekmYrIIa+PQX4+LgfdmvT
fzMP9+2HDtOpP4iF1chOB5GzvhhAvcWMHBxDhjEHC4tENgE+g80hddpD7Mg3AcRDGkK10nho66ZY
wcAuVWkjO2CZxEbClZTV+zQ/j3EIUyNBUVSQhjIIzsSLekvOqjU53Sl2VAtRpvv6H3gCtL583mw3
hCGMwb/Y+UjeZ5v2nh7jUa+NpxCw8IMA8UpjWoy3fSes242+bCpr2dStFgpecbJpvZEFniz4Yn6J
HQF0ky6QYCXVrJoyg7yrCMKHa9pZgyufRVOCkzut5nGPo5PbOQt4+BSYOyAGxuBI7SfZGVz3gxkZ
BijaIT2UflSB0HvFLnrvTqKGsbOslQFCyQkzF9fn2l9yttAE8oOseEVgtwijQbXyFhBxpKElGE5T
b5XcbQ/ScJVCn8qAp4TtuRnsUQP9hRNZkL0OjzO3+DQWVn1id2+4J+6s2uAFrqo5a2Le3LWdfK7k
HcZ7aY6+pFtaBxWTncwjq85u9uPRcMh6WDDEG2ghdxA70JQJl3FiIsHXdYF8r+ofTQRK6UrQ2gW5
nYTBGiNHS3dppmCewDC1VHoqI4f68VsmrAphFWts6JC78XTXushsmO4j5egClhOufWqfcuCMYYox
T1nMHi2yU3lmFAHeEEKcmO6805OaBcqOesIMSs3ywS6Tg9paNEdoeZRlwKXEmNBX+tcw8cbvCZsH
m3SmpIHwRQszjU1aY4rb0Ho3xUxfMBSduAK1WoX4LdsEn8/E8bx2YHHMqwMeNQdIenhFWeQUBY+c
qgUDL/RqoDoI9U4wrhkOZ2BLyLDY7JJ1v3sTYhaquCptDMewNEvmIl/M+qTFQAwnWWBeG5E5r7tq
pbeY/px5jegNP/OatlZwjTuHqCEUGA2E4Yogbep2HyKV7r0o3vQBRAXvmk8V3z7Zbnz8Tywiw5wc
0s/ptpxlmfc5i4xr33tBw6XWCluOmDbdIbpFiBp+DjXzyRUpRz2AutyfIo1xrPiQXWXdnCC1tY63
oRMTnx4SskU+ZUSb3Jx6Lz6MNUOKjCTfR66P1FexNK85qZZuyWZlETPjEljKanxiVbbCfbJdnOwY
e8V2fGvtaht7iRXwF2tUMAnrex2zsOIgCe0nr01s6lciIDeV+9CmSNSVhOWhVyd+X2K4cqG3dH+o
TIG1b/Ebki19hg7Ju/2eu6MbPLQr8l6zdGdLt9MBcnf60jfChmz1j3lLb/kISW+1/V4WrV0qrqQF
hHOesUDfzlv5KO2l/eQFxxd1ifzIF3uGSx9xA4wHWfzoIHzqJz2CdmZzxuMMqut8KFfER3acPfNj
slK/QsNrV4XZ2ZU9O/NKdw0fC3BiR5iCkRciS3MjW3XHEAym8mUnWD0zmOT2kEKCvyK7xgIcMGwy
2QSmWPL36UXueaqa3VmQrBbfWlt3BTfcBodoE9nCOnlDXPGRvfWOyiVX32GZH0ZG3dAKY0tJNJBq
yU4KU+9iPuVc5/VKR4aBGVOH+qQTPlmLhYTeeNza3m5na7TydWSwWeIZKHvFllSoFTZ5YcTzGJDj
aVscoprJxMxlUCOWCWazbINt4ncvQchMqZ3LvICuwtrm4hCKVrsekERLpspKnnPRifm8wpuwZvjy
jm/+7d00IF9f8FLCh3HM1/q++2pRxIkR4LnFbS5Bb0BDdui3ru4RK2RIhFi3IffcKq3akkSzy6Ga
uW4WToHFoIZNDSMiMtRs1mJqDRNzBJ5uhZ3AQ465jeuu+t4pIKyE1bRtHmEG+Rc+1UBnwYciXsVD
XDYQ5U4QWeLCR9lZktWU34KFay1kKb54ihOViFMwvbBqXbjRLuq97NSUb4WPhLmHjCHDrvZSBXSt
ib/y8M243PXYz+Ntb7wb2NHSXOKdikfEq1nfU4UrxllYLyPIqN8proSII7G10nst5n54r5DxTS+y
LGZMscmW2tRVkxXV1wEi7gQEAcvyvEqP6bas+HeE5Q8UTMn4EfEjn6CKQYgqGZqG/EF5kYvvET+d
jTFYBDFyS7M2RVtHMpuwLUURZQE5RTxzMpaN0tgkikBP3mvMSePOMFoeSdDrNSAWYc9dzVMWwwvC
5Z5acSO1g9TGI1Ahqj/kGsrJaTV/znxxEVm+2O3rzA8UZEHM/LS8y3IFWsnovWYRjjKnl5iaSsXl
p1gDGU1xYoXIcZGfDT7tzFbnc6Nv6GVJUUGllmqlfoNaZITlTVNMvUZNkw0Vi4oEpAi6LQIGjqjD
7s2Oj55uZivVDmJAIi3wGVP8FLlNm0MfrUXV0elaUawZka0yAXFqFCpEcym4ZHAD63sWb6Lca6pV
Utoo9UwTl8zFDEULfynxZshcI4BuP+EYsLm1aQ15a/fHt7xjYY9ogpWqm6FEzMotuSc4xgvvei62
TCudSbaaGpA0zIMlJLZO/CV5IOgPSk6xQcVVBqcgmKu92rBQtlHLN1nZViPTPyM75DNEpmaOqDbb
I2Cug1WAGUg8/MdRI1P9B574W9RoVH7FDorw1PgxaoRhqZKqIZHb9VCjhoxCqMLKM/nKD4b3kn4R
zYVO5Q5u4KWHZDfe5MKcccQ6p/ZzylSZR+oZQRlipxJL6DmrYG6xoPLmE6E8YB46NJ/J5zBA9I5f
PWro79Vn6gyfAqCEekTIORSv8Ip1NmERVPhoR4j38QV+QX8mmgKkyE5k2RLuachIyfT5WcmHAANv
4P2emAhUu+N07DQXo53giL8F5+QaZUx+a7bLKeuh3HfbeJU63faEyM6eU1u2UZCzkHlaEkZ+hJ9u
29vKerTb/WhXVroabQzGziXnPITgTK2ahSZSUB/lXC10MXnx3FFF1L8u0XUOmbqKCpg6CN61nfiu
ncTPvkJVHpKvNAZ0hV6KY9da1Y16EuJ0iel2joXRuI5ctZHIWvlpRLgU8UZ0jJ7VOVPLlWqw0nCi
CbXHBgMz/yj8ASXH7KDgCdlZA7sz8SfvWGa+qUgxJYaaFgKtquAGwrkzUiKjBNQ4s8PoYio2tQKS
lcJUb+QjR4SbsuqtvwjcuCBCRmUrxY0KE2yhhnn6ehX65k3veaIjcCoOAb5ne9V9hWdu5ZigDS4j
KsvXnXoaWkyUrO2BSo5YQG01Xr1DjYCFVmVj2qnN+phj68RpJgg7RnuuVbzwcC0gTtqvumHbTUxD
hj2xvDaL0RxmjwyWGFs5tbLI0d34GO0zghR8XikvYjtCnrBfX4n/20KY/SxfPln7/4QOJuvUkDSD
okyE7/+/7/mtnz8d+09h26Mv9wdC2I/NfCeEKbqsEuXlxmkiRefsO1/v5dDhdQ2R/F4KI9gnWaOG
oqHmpWPe+aezh04f0SgxZCJLLwHt7xrhDzImuqd/UBfRVax+7+spmN8kBd1D2dBQjfuhKorFEs0L
VsUW88iEivfndwP0B+1Lvy+8v9qqKhEVVVckSdFwBH68REaCUM+ogvDRrW9LNHI0bF5elOikccSq
6p14qFWd0XCiKrIBxDKYCdYiCw+VzCfB642KlbeXX3ZaSkD7qbyVN3VAPWUx0SBbejtFkmrc25ol
2QfxJHGnZ+3LpewzaHMeoYaROjkUeQktsollqyPaR0LbWmTkWoNQy7DDQzQfxS+8CjYZohGXc1l0
k10jIjBkigya6HS5JZ91RLOn+oDkdWh5oXAxtFLsqw7aTS0AU20U8ljjSWOqDiZK1cmpWe+3+io4
R4yuFF4eBrdQ1/Gq99sFzxp9jeWOhmwfJYNTMbAK9XUzmi0Figfy4Wmd+5gHUCJ7V9cKnz9KjWuy
rRrhy1Uc3lWFF48scJSb1u3pc253bWWfJdEaUL8orKJg+Hs5dhaxJ0uziadYhodiv8gCDSa3bUIQ
BiA3Qz0FpW3cUFrpDwbqlxX02FUBRYnByVEJcxEEmInVElicdN9uMt7a8otel3uUFO/be8uwwGEu
5MGbtJX34j5yjY9cWNeiHSWYctfhHQv6pYy3knHWERS/HBqkC3Qnl96Q8L2qMiKyKjEju0c1UGIV
uhk9SiP3aQnZ8t6/tDssxDJ6emdlRpDamYGf2IFJRnSiZMEMTH2LmNkjXuE2ru5ErgoaYiEKHd22
5mQhKGIqqDDg8F5TmPedJW3bBlQUc0roHsamueYZxOdsHfr6NtikZ6LCdCW2th+sqw5XbOz4IbOJ
E7Ruw9u1pMdKiQA1uiTioV/EoCJ4vr5Att2aaD3j+fVXb14z9Kvdqxqa2CGEL7094wggwp+u+KMp
Xy3gyf3Ih9Y0AhNF6SqGYk3wqM7LZAhmNs4w6rxUraFnk+7gSemtWtOjdA0XJhxbM3HJXt4L1qaz
0FFczawEZZu4aFg7KF+jqT3eUH/BiMYlMH5dct7HTOnMDqWZeIMiUhdAShkKSuLEs5iXoTUMtnxG
XSbsrLJFzQFQ/ireh52IA5iCmrI2hfGNtkzvoElZUUD7TAoIRiZJrHyWDKEKL5kEiiOtFifZhmaM
kVTbtR17Quwm59FK17EbSegEF3d516yMU3FJEy6gcHESFSxjvEWhebIbsllCyC6Kn+tm6qXmWLDs
0qHgl0M4mJO2l2aOthFuScgHwckBoHH8SiSTNizckF05/OomNxf0YSM+ILjk6duwQks3t+lrEyKL
X+XoyRGw2V9hyx2BS7ivn/E+9vIJsi2GecbrkM01qJcRfXmvTgG1JqED/d5OQDtU8uo36YLDkB3D
CYz39E1GimMOTuAODkqKdrzJWfw2GO9dvM0Kl5JNHTqam062wcNN+ET3OOi4Lr2hmoRpaYfAkWeH
1h0Wk7Tu2HvDLbi2iGK+jOt0llBoujYUVz0DiS4iGERJ3cKGs+pNoiuVK7Rmg8VPUcpR9lLOK3R4
d+qMkAhdd0Nl+gH7J0vWhFQOTeVeWqHmKSWsTFYDIrLlgAeMYLjaDl3shKMbj79VlLTQiEDBAv3L
JufSDER3FnGDq7gIqTd9UeQqKrTrUUxZ4i846UDG4xO/OmsUzYgNLf2AbpXFkTw0Q2X9Li1os8bI
s6xqU9mh1WmsrVErCTKsT1K4qdcNJvYY6N6Q19L8IV6NrZEx3Dh8oeaIr9mNKKwABTP5rn4piqZ8
RaUmf+suKNHgJIKe0w3qARfpqzHlh/pVLr62XRq0vMFoHNF4Ef91kV6U1EsW1gTHPtgE6iOWOVob
oxsqSFSzYhWgSS+YEfr5/RWtnq/CwHKySYNNZVIUlwcHda5sQd7Al3Nx6J1Kcr/C2AwSDKv0I0Lt
zUt39EtZ10BxGG3qoRym22gKH7XPEUlyxRTVgETYzS+nOvJxKPvOa+kMsbAJd4ldokmEDnfrjKt5
JbodtA/hIwO6aXnWWqgk6bawUTzJ02czbZ0ix0JixelHF27Q4+7EjdB0UDQNW+fqwxhXiVaxpEIh
s7PTNGEZ9al0EloUpJHTD401P9DGDnGehM4DRLmN0+NA40wTlJokru9R9sAamIHk4aid8UcimHJr
ShHDcaMq5NMqR2GIVmeleYgxGrdm7WIg4iwPBXMw3h1WNLPARnQ7RhkstGer5/WaPIKtgZY+oRC1
1iLZ+JAxpsRrdY5P5IGHhqdowW6Yebk2CkZ6mLKjpkPAsrdpQTcDVc4EUtZPftZAdkZXzVOx8dxd
I8V+F8lGpDwerMCkLzeuXWEpalfYp3xboxyg8E5EUdccG0tYp5jsUYepnoUt7MilRBOaB75CeDlY
e0MHuXDHO8KTfCvf0TocDLc+56JbULtE2TSzMg29exQisXo3gqdMR436erLG8PLFBIHGS0ZHcUfq
JZDkL30bihsdhbsBQUgxW+m5VEXog0uZuFHE1W2E5AUTjjozId61q5hsNRJaWFaD3qovqnIxDuNl
vqTbhhX78hh3rJ2fY+V0mMc8EVIr8tCwR1ku3ebbMWVHtbKCDue7+EvmyxWfkLc3pxiTR72nth4x
uWet/JqhM3KhCCHEhCI6r2k7Eb5zeuIu8r5d95rAZLlgZZzjwKWsxAJqppdebrh8kGWcAhB2u3mk
TE90sy0MU8brlE7v/CkuxcDIZhq5weBm85oUh7S79906RGUZ7VU9EyESPBkFPmJ2iQGlZC8IVrT+
Ni27LDrouttVp2BTLk6ZekEbmyS355lF4U1bNlFmGe0BC+2CwZt/afv6s0H7KYZ8h0r2gGLzcEYz
FxMjpsVyAIQZQoTBvFY88lBYjdOCihVOB1m8vt4X2mps3Cp7TR3BRK+tSrw9eT3QI9okCAoanL9F
b3ig/GhRmxRbU+l7nO5w1DKW5Dw46vsRbVWfuJVZma3Wrf5ktJmQhDk60+iNoGGDtpATbYd7ucH5
PRRLAYLa/KZcdYW9prLFzND58L4cpSP5ENDg2AYfZQZhzYoZo7avAUGEcNTQdEs5uQxv3XOuuKZ7
iWl0MG1Kq2PebTFfk4tyV/KSG+aFMgZ9M2+j+/ye3I01QW9utDA9zSrOaNujdoqpUtgMaKT9/84t
CZU1VdVwkgVBIvQddXpN/Phtmsbf5pMe4iH+n/+jeQqfz1bYNbcYJ1u0r9mkrymZT+HWT8Kpeeb3
7Nn+C/X8/VX+ST0JTv9UDYnIIkpX5EfqiRMf/jd7Z5LcOrat5+G4hQjURRc1wZqiKEodBEVJIAoC
BAgWwCA8CLc8AM/gTszfPulw5sl3/V7cxms47FAeHR2RRLGx99pr/cVKR1ZlRxSlGvXlnyoMS9Zk
6jjb5uOG+ZsKw1QoRh1NN3gPP/4rpSdaE4G5/q36pCbWNUPVZMe0ZPH6X1Sl5/zZXu3hkU96xSe8
Noea9bOuwMpZaYOrRk7mn3fphXx6PJqGOx4vM2MpvbB8nSxgklcnnx+Y4kK8YXXxuCczVjt3P4L6
34C2rWU3Q8gB+LbLTNc+B6MVn1tPYv2xtq97u0yI0Yg8btXLcD9cbpHCGyzoRTZMpBpRznqTCbWI
r9jGJV18jvpRVbdPNuuq3Sr7hhoT4ZCvXYPHT3EKEIvcxT/Qb0ZzC0hvWh5I21ND6Enk+oRo4esK
wkf2/jyLdzsUDDevkBLe5Sx5szyXHz6/avpZijbgrCb3dl5yu1nUV6HCTsg9miePk5L4P+NnXB4G
allNB1xE1EhsLGbKNbj7ze7xY575gc9Vz+njh9dy4lsd9YitqDvkIrT7il0naMnm0Bi06junSZtF
3nIbjbQqsojBUMuEwb4FerNKlXV38zJpZT2mzkUN2mLCe3nVsqP6FqljzLXcu4mIyvI5QN9iR2hJ
0K6OSihpC8Qlt0uwNmrBMSB1KZrZ7Qnwdd/x4rWN+I54m1Ly50I+UNSbLi/dEW5c8RALcph7+iM/
ISMpg9ADqsUS2UrToVcbe5/du5h0w6KTvuCQ0uB2Rz/QTRUYm2cK2TXc2llvIaZ7xIPjq48xuNhg
cRct1lvTrZ0fyJQ2eHh3NCN2Ghm9N0rA47MLgg0y5g2EyZ0kbZ+vu8/7Z966kCLTxyKHoL+7aIHY
C47KHqDCeSl3+aLa7kW9LR8ESPzZU07fqeeh28/Ut8D00jLb9LPLBNFD6zkOyqJswSNN16fVAONA
ikiaprrMlWfY+YY/6JHm3n3HXW6faOy8zzF3zR89cMIlFUiZnJO77T6+1W9Td/kFahUDKOT15Cl+
vbJCZyrPFdLwIwX+CXgC+YJGduF3K4cdcWYKvTaQ6K5btZtqxYB9qGZo1i+K326Kwv10UpjAcJyl
yTgTmqE0GsNnqBqM+Rj6aZTFgn94nsCYx2mW5Hxd55flmUKthyRZtuvJhQRECx9z/ft894ubey9C
+dWZOtCwaSR7t+De+vsPBCDocykDzxGFAYdKJ0hj+cf08sLhH1rYLZt1uW5eixfusXcpwgzJk7Up
UPkjyhFkWEfFv3pMe79aPqfWpov7eHJu3dv8EXE37yZCaQTkcf8lqvnBO6M8+fhE8hicQtt3j5Rw
Xh1bYheen16ydfWixQ51yFubOGGT3F75BTA81e4FeEd6UzMU7pXqWW/GG+r2KwXv221eh5Q/7uAJ
9OXuc/jU76bd232aBSVDNfqKfw74wIsxPcf9pJ844e3ViJ3wEuaJ8lkvpU/zW9miKjodbxskKkE3
KbZIyhF2vV83oRNeo3auQByWsebzfIPHr688zvl3GVyWw+vZ8khGqNcDhAKBSiFeBrdvbXoOTOaF
uPv94O0ddysFmbtFdHTJhbgIIt9VPZQxvEFAKK27Lfw8gB7yBXIF+SDmXf0uB1qYQ3coM4QiSKJM
bpj0lwlESjYjtWcBCNrCmHYv8ut9SU1/UA8WklqokgMalZkEMrdQAStssJo7z4L5nbsbCn3O1U36
u3ufMDqrW+ddFyhmQpRh7ufTJe6te6Rkc8W1puOkqIETKbzvKzRS+dQKn4wnl/acPCIT2czpq120
m2bTcrZ+Usbi8g0u+jlDiHNZKTOTtC3gdrjYclpO0+R6eKDp6SdIBSYZj+fOu5n5JmxeHN63dxQu
9YqrtxP0/6UayeSMLAoTLsg5ouzvCAkE2tPZKw9i02pj6uIcyaHqMb6MlMNiJmND3SN2MqgWxf0U
44e9oYVj6Y7FVlo2uwYxssAsUdWfb5/aKbifw1v7jY7vvX7XD/LBrtw6I+iV7uXqP8FIbcIkAsaJ
YcdzAlexahZMFXd0t86miVpvqR6MsJvY8DwVJR12ACUsNzX729krVLQUuAT46JnHco63GcqFykIK
5Lyqy1ShwGwoxo96BpjrIXFWIue1hDHaaPMxQgWZ5BNpPlItzcuZvqSs1pf6spypy1uYTZTINkpX
93XfCXLADt2t3DcTTODmjx4+DL6Ie0E91X0KT5/74bfij02NDInkidctT/eHlRGIn5COzVtK+qFA
4+PJy/G0tV7HxF4KjHGMJWQmlWcWhXeyClEbPqRw5GlculBeXq/BmAaQ91bdeE9pdpU+bsd8Bvxa
BfcpiNS98MZnYM6yOSDJONWmlzTsVK/9MN6q8LS0JzZQrhV0lyBXwpMS9OCpB06/yJSZqgWn3ZUb
tLwRyp8bQ3qBHoUrVupVGl8CIxgX7CjiK4H9CnQfioyMe4wMJOSMC9HFrRaCj2J3cvVMR5R2XH3D
CrpHtm2oM/A8DnyJn574MkX9/bwdWjb3lnc7+Rv3Z1heUQoVxM1+dbIO/jGqdzXWHOwV5VuRCmSh
t71ZM3v42ftAkT+iBnq/bputmkVVOXl2RwXvQn2aG+1OziI0OKcNADMTFgQEym8IgZ3c/P3Zh7J/
GPx6gaABEbqMimjwn4Hg08CTdne05NdJb7rXyTNQKcBvv17gkvanjRDA3Pwbj1M8ZJiCH84zIGMZ
Lf+seWNCfWVERnTetrN0iWEmeOcBBfryyofE4Z4BNfDMePjVolhI63SpdG6JXyH/AgWjGDt2OwAr
ypzFol7gj8jQWu373XkibkbAa/fD/fCsAzWnEMxXuTPpDqiZmu0FUUM0kGcushVM5KxGzHGKT3G+
6nfMMspFjk1lZmzQfVDjtbeoMEIqw5YRdaJ2ZqfJDWiQfXwAn9LW+rKZdTvQLMALfvsGHGUuz5N2
Yi8BSiojPKlJZ2N3mXEcajI+X+/s5TNhbbFV6yEzKbgnfSK/PI7tPpvJLwaz6QQA99LszZNbG+7w
5QDXLswvKtZoXKhbqwrGdT6x5sb6PMO6ED6T0wH8pjhUu9vemo9JvpXW3c4BHnnw2KSo3ALUHSiF
LyBewrHQngLAl+cPA3ue2Ef7WPKJdnaeaDzsftcByDSzy07eS3OgmJuLf2jLeMDQQCz3AbREwKNK
gCuGfbEgneA0zKPAWN/2HWlR4ypRPktja56+OIMnH88Tw+CJ6Ue1mDFQjOb6tADZ4tsE3MlY28ty
YkRgTDl/5RNnDlRmLsXpx8RcVjvxWeXh60eGUxmCR9i06wdLrQsyprXbzPgUm16gnbyWeZ+IVUTy
RMlruo+wY7UeU39jT9iEWGlvReWediiKJqxDICrW4RsBz1sdvzP3+1sEI4RZxY/FkhZHqF3nIH07
pGJ+HRNI4HcCeWl83MIHgaj1eVLX4xXw7CNn8oMTzHBzBbJ/u6PLE4JGChliOzDtiPbuIKbSyXRB
UTNw6giOeNkF4vURdntgUuA78eQ98m+uWywtI2LxeuL3hFjbfXcSXB6zC58w3dm78qP8qHvTXR21
Dcj/r0+/P4PLwkrEor0HJTYl9w3FHgsYKZQPm80dr7jExYJlpL7fAUr4YO5JXj6PVsQrEZ3F0U3x
uTeUt8gUgdq6gBHgClgsXo1kqnbzSTl7U7H7zC3v9KNEHWfDiPNiRHzO8bhwI3qEhGLqQ+5G3GHq
OhEWGUuEBvUWpcsyi06LVPHBhoGVlXPAXLtSAjpu3vnmSzm5CuiingK4SMoa3EY6B8B6GI5Ae4GG
VdcuPk4Liwt8+P0OKPuRRQ8uFEUd40eAUoklxKYFn2I+ohcTk/0Rio2s/ql25UTx3tFAIex6+BYz
/OYPVoylxxELRFw3mgvN40q3rBtrXe2kuTXXPvKZxpstlg4eIe4LieaVQz2w5OD4OrB7vTD9eAb2
seLytGQIHYGvMuW7Hya7vD9LCecwoYFab0R/t9HRSvS7Z/AMBr/5MkPU1m+rFRQZk2OVhm9Y5ZBF
WImTtBM4hD3XY0R3HizKzHjAYXZHgYifMmnZsY7vxQJN3aMKGRNnXe+0yHypdlcCzr6RV4CARXes
sRKwYJsVwLKYCMWECJGSLJDBzUWAEvs3fKH3DMSEYtYt5NBQt+nyWrwWVNYcBhJArNS7p0RH0MSk
V6CL2NyYSd3u4i4Kobto3eyl9hLwrYCUill0cYvDO+JacP+K78AHPyQc5CI3l5MTd/lZwhiGoZCx
7Fl2Yo6CsXE5DHv0mKnhafP8FQRmdy8lHjjzYgdCJx8Fn/AIByKVw/x7hPdEwvjoET7JjGNKcAi0
oESFnQX2SzODpnGlCBlJOxFrJGdGHsoJmSQ74hgUsVjNQIj9ztYOZTMpoHq/Hen79vzSshK8Gb3c
OE4rdeoUK6sJH6OfQtqmxrwwFTcDbH5+VWpIueoaj3NYPLgr+IKHl2VEjwuKERQfN7fT/dNH2r0V
Q3TP2OndFsk7bqk4baOSFJlaeAFiP/r/KZDd/1W+KFRgCCIcA02EgQ/639WDrKpD/324sZtgAd80
w6H6N+gcwN9vx/sTnTMMzqNYYF+/4LTfhCHCs+Qoqo0kRbid/oLOGbpiKramW4owUPHSn8IQQ0ZO
gp8Je5WlILT4F4QhuiykbX8D5wxN1oVuEle8Yv8NnHOyR59VCji8ObidUF18WDdP/2nJ0M9+uTEa
xI7+ZQzPT3KzxLm8qwjcbV/aV1/2T3vfPEw3ix1KmxUWav42zK+KPC33nG5+05JHFZvausgWKCty
B6cRoDU2WzkWOH7YUneIr3ah2fEdkGGYtgsZumihqa7O8sKFvdNCOVCDPC7jcTIsFF93PErAz9sG
PGaq+PgH7Artu2+174WKH10Bw9nIqIrZyFFB+v0Efvtc+0Pu8RK+DVRho4dqT1J9xHpVCmND0J+2
V/fkxABJvOukri5AGnfPrgNkfRSOoCQ6ShQ14oNgLCrSSFcqZ5nj3Uyh52uklxPnGsPsvrmpUUEi
JFQd2AWGlWZu72qcYTKC3T4d21LCD1PfwlPqKRutTioLUYhrayv1RMiNjwgKrz9X3oULIluNXrbK
52UEqQkYNF6is4zxXo1zvPIh9RXDl/nd4LVm3MOWZeTVY9T6MsLTn47MAu3ZuDo1Kw38Zoc5tXv4
p4Mot6h+upC9sUIc0M6zLSkUaYg5ldIgcyKZwIY22z6y8QxYwblLdq1xcQ9OD7oDhNJaLtn0rAda
mti2YnNPVn+DNL5452vc7ayI+OuPlwGs0c23FUJ0RIq2V7IZL6GQyM7sLGAXfyprh5z0Eeo97BOa
+niUZtnEwLbv1lB13UxGU/DR48g1XEaNkklGUfh56dxxLdXJaQcWOsuyYIxIwPLZqt2TaQ2Z3yeP
4/0cSPOnoJrhJmU9GHTI36WRvukO2yJbfSCru/QF/4Ds6sprSYsC1NroEtjxmvYN+/L56p3Lxr+z
YTdG7muQ4eBtNhlGdbr4Le6xAO0q79Xez1v8x0jX6yZMB5zcsp57+rC54HeQ0k2DXU2bSFs+gusu
sraAfoCM9uP19Nq9ph5oqbmAzjN6n2u4FAs80Sqae+SHCn4DDg0JaS+6IuqpDwj6WmyeXTTZvwT8
WOP8HJavWXbR/fW8PCXlyxDnyMnzMPfv3+rUgwb066DB8qEFeBA3Ij9oEaPi05nhmPlpUCqsnCqp
glKf5TiY9KW9OemLLou5pgIJrmIFN5zwQABYMr708fM/ZZv5v0l1SGjHforzFArm31UdLm89xA/7
yz/ZWX4/xl92FhsTrW3RxkTTf7UF+YvkUEVpaNqaIhtoDn/jfQyVFyzZ+t8NSH7bWdBAsx+hnv8X
dxYkjr/tLH+IqmHF6HViCxZJ/5vo8CRfu1SVsxzSxbeHOQRz0LhnTGdw5/gvZ+1GoIHkQT/F1+1w
BokgDB/LRT+ThhCYnQ4acJ+nFEmfaK5RrMzkOaOgPFAjr+4gqGowAvmNCMDAywIBqlEyu4Wx0fuU
zzmRFNqeFF58YWo/TYZE5qsGDJM9LaQJA8pqEHNXfOHu9E9hE5mkaQ0nD3PdTSdSgDZoxAeqTbcC
xsPu6WthFqcRMOlB/cmmNPYAzLe3aQjy3EbZqz7RFjo1oNo9AmhbvEjlojYCaDGvr+PreiznDZ0l
iBE9jTxO5/3NgS8K8ae00Zl44hBXauKLbngXos2DqFMTfeor1svo0r41xKXO3uI3GjRXViAmOmzM
/TR9yV6loJFik6SSQgVlgNEkSHm0JjG0yfc9X/aND7qRuu6NNS8aOJwU2JaVKUmhcN5kZ3CVPrDp
CoCp5sKPJwPdX3SmVJVDApDVVx5NHpByUKbeZvfzS5O677PLgkrSPahXIcaZyQCc0kodNr3o1MAf
1bphA9wyFvQjCGquaHAwuwliOukfByAVeh8MZ3d8r9gVP+9AQSYFkv8O6HTGTbg6qZGVsgu3C+uj
uM2QB5iXOSonQpKhvGtl8CxiVNfp2VvcZmmTXG8bc5jbiHcav+De6usEswrC/EthhZ8tQsdywdSi
YUqjz++3xem16pfmAp4KyzOhbWj8voj4oYgIfDeSboXqw4ovbHqda9P9Y5tpE4wTk5oNGKyTbbGs
vQK94Q7ZuTW4wBbYma/TjCB8funm0uQ2lRf1vjvqc3s+JNkB7eF9/0i60FplL/ny+jY+hA/a0lxk
PtbEjITgT1uOK2vrrJB7l+7Zr9bnk6tjPytd9c15hwxrP2P2qz/YNYdye9xr72V4Du/R/+thmQ5H
mmkQkeHURdz6d5L///KP/1rhLM7HQ/cFUf+rC9S3FH3XLJl//Pf7v22V8Pdj/xmubVJ2XTFk0fZJ
JRr+Ga0dRZMt2bRskc//ztIbYuOAM5dVUzMtsvM/o7VOEMesIqO3tqDx/5U6QNGd351TlC+ao9IS
SzVNm2JEN4VH5i8svVlmVWWWBSxvsxgSJKtCORPALmteB8giPVw56p4LmnMEPZ1FntfghP6wnRAV
HDzdZZQ9vccDQVzegGjnAb4p6+KHzgX/c6hdEfe5j+rlPHr1KVBuXtl6Iu3GOJ0Fw91/dmvrOb37
54OMZQMZjyo47wt2PzLGwyMwxzi7LDLgeUyHh4cSwdQaZKvHUl2zVxS3CIUUh+mTMVQTHVVS9AD1
PgUP29NBpY0Q2rUDRaHgByXd0laBFgJNG3KQ/iT04bxLJ1flsoboKbvX12c/Vb8tFdwtAwlSBmp0
gMNIelVfUMtM9Pf+bbx6wqdz+rrP7jM2JtiV00qDCqONlK9GqIN7H752uHj25ZIoF+8aIL1rA+PF
4hUhfhfumxErF2ZHSKWF4FYzKK3+S7n6GWSXhVvHYN8g22R7Oi2He9BPyzkm0/oNegC2c2pPKFmh
Iaf18rzuilDIb8lZQTpdGB5lazPwT4g8KqipM7VK/GXWtO/Z+0Yf95CLzwiGrCrgxjh5XBN+2qAP
VXTN9SSNbPpf2POn4ueWn+/MbtMrvmy4N/jHy4QvxBfZ4oKIHp+4jBUeipxLuOAjuoQQdKZX+VKb
oDbb4eLP0KMnCA2rr35r/yiqSzsqFTz4GsoqW7OJI+keVmidkcilSnKZlYuHyBoWo5B5VLN6Jq/1
9VmJ6OTRz0RlKHv7DnJakIm0K4Cr5DbZDejydY6lN1ICCFgIWx/IyTUC2iIJqreMAHrjJzs77DlG
vRp2VnCaNabgZ2zSrgmck+MhA/X2Of0DbF+TPWczkmHkvPMiTsyphfKaKg22FwvQxKaJBDOP5EL3
NN/iPcQVt8Dx6WDtt2asjhSbPn8KcNRnfPbqtxwhJKLlwf9u0VGjMV05mwuJeqQClitB+p6tm+h5
SZ7xfWquzHfUu9bZ7bA8T6rPkWwKGjsPtk/3iKiCNQuubn0IkHrpuBZXr164yIHZqLlN0ARkBZC9
KtTjOFN/FJaKnCBOuLofZiLGrNiXiUSbBkNmuB6rBo0omu3K8i/pyvKyCAlbLE9UPIhGcIlPLBPU
2G8aSRzpU49R2nU8+eK2NVCv2qxT2T990rqAf9MWS2GSgcEV2gckIoruQqdnVtLTcUzb9KgWGGVL
mGRvt1hZXKbD+8PwEBfCzokOXNQ51B0Ivv2RB/JN3a25FH127537SMVJFZSQhbq/KlHD5xO8+8DY
1Q6o8hGOoM46JAGAuoL+/iD6Q4wCQb2BmX+vOmpE8zj44pcX6UUJcNEvXynf+X09xmOkLToWXZY0
UYNFYrW5BFqEOPZK+c0tOR48/7pC/siLPQ8q520SqGgN88bdgBPQPYugKKi+I1ByYoDzIjkEi4Sc
KybFDgzw2LsSjRusTe7NZo8QsoLU0r2Fes3zoMWeu3gpQ1TfOXJJd9X/oWMniQT5Ho6pM+9A21Ma
SgFlQy3V7gFyaN17eiiBekMnLJAbK668zGZ1bH9lqKTpJ4afPs4SlBeBFFw+8dOI51hG3OurGMs8
uk+doIsv0xv9+upkjO5AvaYvMdZHyJ5ASYY9mmpQe8piHG6ohayA1ETTUCvfpjkZkD614woOrQV0
FkxWho8TXL1j/jyFbF/QwSDZ/vWFbJYea0SDpfx5Xhqo/nEZBHVAV6sNXEAzuSzk2WMrZV4F3NpM
momMzVqPL5Ea92spuW7VmXr1L3TtoPGA5mk/MpWuAL2BH9Q15A8gcjoswNeLBb0RNmpIf50ELmY9
Gvurn4YOw8BzwFEIB+5hHbgjf1c2DmF0/Xb1ncqnRp/cSBJX6svpx4TCFVr/0vvmQN59QyKPr/G8
HQhZs2pgfqHfYvuga5iB4JuObBPZNxKdDoZ0IQMiEUSowhUAwgRVcp9bppfY09R2q7i8nZIns4hW
EZCGoh3C+bLsr2FBg5McGsRXhOYegS7y1YLWYdXhIiwtBZ13Sicc1Mr9XO7v/k5zH3zFJzcBaqmX
eT1VK+wxV2Nqmzg/3AaQ5jgkqNMQ1ZnNQm0Gd9yjLrWWFu1CvIzOgmrCdxXu7WASfhlHLK1sZrCu
6UquVw+vP5pzZVkypSG6UMCF18zlv/49f2stkDx3iKT4HmZhSuseArEUy+prwd5jeqqZXJF8abF8
W53KAOC8ip7FUZoY93mFzRXgHRDEedeou7BxXILG/NDlzwc+HIv8vIlHvSUt3zTnffHATzzn+3Bl
U0YObkethQU044bINB7ZvCeJfxBhfu5WjNbtVkyM06btNyfoWSXS4MvZTZrADooI+1H9Xc8zi3Bw
/zFvKxtE6iULq+/H2yOuPbB5YDhkbR4w/ONNXDcI/Se/AcZ/o10BKL9W7K4N7LG+FH1vRE1Fr0Do
PMKADrUJBtXMpLmCcr+cOGt44dkInWhFogC6wKEJ3a7mvdfuG9w70xJy7Dii7hexC4olcSCXmCsL
Z/3wzxCLggYUZGafXOIO6/A4pYtIIiLmE8sLOx/TcLURfKboxIN7wD0KaUa6lQ6/RBqzNJThEd/o
hMn7M6a2viJSxOXcRqQhlAuosAlFtF3xiHi4fQRZilv+FwEnw401q1P8mkIWVu5KEJVtBbUiNAH0
muQ7mslA/Azd4x0OrSCGew9DSqyJVkHhjcjnC+oYCmvf7QZpr2xHpEsOjU48koMkXZPPtTtk30Eb
pwF9L6ddRO0aUqyJLe4HnQf2t7vfBqLoR09DtnUhB7vGdoDByL0G+MFM02cN3DzL/3k93DjlO60g
fwicsHpcLIuVjWAhfMRQUGShpgtbKrTTGIt5FQXYZvD1kF5IATpEkjpraSL8Kt2vlzws/Q7eSlCC
gjBSYOnw3njKD1Zlwj++QpqLmHg4AIgTZDO/OiI9VtcQIKCZtbMb0pC7EEW1ZCAijcOGwThLntCC
bPCv+Z8CL1c9kbDR0AS4wKcng0+qxaNTJ87H29vF6xjU1D28/jzo25F6kk+fGA83Qdh5Kijgy+C+
8nE2uH5R0QbGSZhlOt1gngfI+ic1/m2m7zWhraH2P/26W5hi6OYrtOiduaeG2df7+x9EdBfcaMjB
3cDkOvOeje+bzaHfCRUApKB3/UV9IulJtCRdCgW6BSGp/JrRQuzzLiYveQQTC/66C46ClRf8PNp4
tvTK5QSiyQnDx/CIkCmIZzGapwMZNtd0Z5Q5Cl0HQvMollcXmG6aK4vHgD3igtRK90v0cMSMh/FH
dfxby8C/ds1Vfy+cBM4lwDfF0hXF4W/B1fy1cEpT+Xwxn2zjZzIu+EH3c3Qxy/u/hDtQm68vLz8/
u9v/d2irApU0dJtxlCmP/89FufeP/9H/IaFffOfZtxDQLxrgU8nHjI60Xoq6f/y3478tzbE+/3aG
P0tzw9EBKB2FttA67Qz/WpubFhgmDJyFxv9X2f6ngp6HDblnyrKtyfLfzNsG5TyFO3cC/Kv/S7X5
7xPsV2XONekG7Uyo86nTf59ginPNbtZ4ySePKkDSaB1bKOSNGTpaop7D/J7odfKX4fwnfm5c6Bzz
T1rwf4G3+NLphqGpJif//ZxtXlvKSUlPk73QtwOezaSX5/6J0sdaFB46boXyVKHuf5U8y3KV5wtp
A9RH1czMc/Cre8YAtPfT7pR9ebAc4cmWUB8OoU7SgomUSP6TL27YZM81vh1QVPAveuEgeScVKYDQ
UKSlrpnc+6B8HizzeNJ25ydgrjk1aLcIfQNZPwTCe0XCT6ZzmfGD5SJuxyNLrUqbBWyebBdjnFa+
9svX9UAu91MM4QCWVmB9e+avRr28IhikppQMWuihxy7N6a352lvFFbW+IN3mehde2nk7fKCSBwyx
hdowuMw6at96QqdIYwivgbEU1oXyh9Q3GafPaR8DxGbflynQyKYld33SoUxNUIk6y8sQjm/3dm3d
HbALj2TK+Mp3soepDBHkjHaVV/dAvyagRYTj+NWLD1T4qOdrtLuKQ/HabaV9e/YNlU7FLqzemGjR
O/tMomKmfh/lbVfGURah5uunExpT6e9k993jSwrMlfjTTxUGnP2cnJxImrEn1W8W9k8TsjFnzx/j
p7tJtQWIrU3Hn4CbAUTOWre2Z+etFiG66HHt4hxH8/gJ7Ix9C8ADcPqKvIGcI/X6NqJefT6PtyKS
KX79U8OW6l8RWwoc+Ekd3r31U4q6YbWSJ+Nap9vrHcdvAIZEjznHdY/DFxWh6etfFFoPzX2iPR2W
8H6v1/1sRDKGyRuVFI4u+gF05Jk4KLBtMRcj86j6IMj0Dbkc+l25ZbOrErInxDe0gEqXqIfgBIcj
Pd8ZZgbxBYBGiRqaV6FbRVEHg+o4q+72qj6p1mIKl3w2Vr5FIZzShdfv0JEqvmN5yvPjgaifLpOU
+zQUpzfkWn9B+XW8tWznz4Y9GMqygm1YD0fhCjuQ8al0dxPlKX5Go0yak49Sp2zeuSa0gG03Qc2K
QbP7QURXK1FL5rrnrYhxhCwOre9lBfKMHKqREtFjDFHtNci39wAva6n68Ai8nAaUBrD6k3d7b7I6
aC1tqvR7e5JLIruhbzCMX8Q7OOYQsmmlS0SjDp2SewURLuOqoKDaUqsKFR8FyED/5xkZ3M07b0G7
3WaL2CdHksVB0a/SquXdozypkCBRmlwBeHh3yxXQcQY7792NSF75j1/hFY6ciAusqNUaukdSQoGw
9ZaPRk8/MjLqUSUjj2SsgO7Z/qDf3f20rseJDiJ/jVOPjmUA7UW0BtiwsFlGtXGanl7pKg1ohE+d
/sQnDOSPpvfKq/pRFdHTCrTJzvh6EGp6TLCR1bwqMD5ZQTOGCPdJ9R9kB/+UBLM09gebvQWxye9x
1KqvD/vZ5fmkvrz3V7wJdKBF/DC80cf0PziVzrbyT4K2ZVrgwbas2vbfTqbepLt0fnAyzf5EzoGj
BC9qqkRDIB3hO3Cl0kL93vlX2mIXEO2Czy3VQ0+pT2Yc01aZvGVTz+krEyyeWHID5au3JsVMwsIN
qx+C3va0Olqd5Vi1vZ6Wk3LclTObfhM04qCv1SCMiwOzdVfYSA9q7+tpU3g4rzc5Fq7O51u+sI6j
MLvQHd6ZXO5zes7RzZmGENc4X5ycSLklcjkROT+HYqNp3nTAl8/yM2Mlccm0PXfNd3uS+n/UKNQh
dBqY0AVSzU23hUBp0UISzzrEAmmUy7HGfLIqz/5I13W6fFYhGww2rTQNKAfttbm+gTkQAuFYZrnt
PQnJE+vFoBcTYn2f6B+VRihzU678k0ouvSDT1Xlu0O4aGK4mTC2Lx66+WhP5GUUr4f04Y599T7Hw
XAILow1Ct9Unqjf3WtOAA0l6lbC34PyvrmYoWclZa91vrPaVMSdS08/wabJV4PspAyFHpddhKRog
EkXhtPgBvz7x1lqc6ef0ykpipSHWtuhwOutI+unYHF7LWVFOJC0N/zC4yvlGahKit7NoFn/0P8FS
CrNqtVvaChd2/GhO7sXc9FpcmoMHLmvhTKNrikUxCvjg3EL5HcCR/wMAD+8kHQBs0yJACBA0BPMR
cq8vthps3w3WT/zRhg1+4X7XV7EC6s8+ACqevvS0kGIhp2jj4/4tNShtHumG3sk4rF/TreH4F2r8
7Gv0O+VgNUFpfmNLbo8SLfONzenzRuESm1vtVahlnZ9q89xd5UW16QuYQ/7HCNdJdvess0+4uz8t
74b07kEhBnNJh3Rk4d6i3lDqSPMWGfZ1VrtNHlq025tINCEEWKFVMnJmoSDsTP81X9khhPU8tj3H
v7mIMDroWzqQ0Kn+qgTwb+3baY5hTU+nyh4RyYM9klrrVQOz8MzXhwjBwK8STU/oZ1LtnRMNErHz
p1WgHNGBtG9Dvyh/yUaMlbk4f0rb9XV6CkSXBuZk6ms08TBvYUrTxQKhNtJCxJs0xSKT2NRo2LGl
4DcEK1yYrO//Sd557jiObVn6VeYFCNCbPwOMaOS9QlLEH0HhaESKXiT19POdrL6dVVm3a7oGaKBN
ZVYiM4xCjvucs/da37LBxMUjCxF8Kt4D/I52l49wc/lojj6IBLN1XVGRVY+/caYF9S8aCeQPxMbS
3MmXeWa8KYnPFLSeM4CHLcV5tASV+PAfOu+8UaLthT9PxTZ5NDZKmIz+eu9piEHTr1tP22Ivrurs
n5lH/bFkqlZu6I9bjlC6cOkoWeUZx3NqTTOcRYL/4Mb5UZowfKq8guW3cdv7SKXPOmuSEax48PLJ
BqoQ9sBTetAA1ViPY5GCZHm9YVD8rib2Ip1XtEifS1hn5axSjmZ8ZB4vyS4dUhVQGuTr9k2jeSwd
HubKfswVln/MfjKtD+iQf/2AzX9Wtn//gMUT8rvJW9aUvVOm7O816GA4BLTHiQfdF5O8XCRQfMY6
grh4Ij+kUcL0H5eWsHdxzsS6uVAiPy9ZsqUz+mhcBrzPFjmdELiHzAl2Tx+UyDlD5j9DhdRdXuoP
WfuYFG83ZmE0wBs3bqdaLmYIa/Hf8m2Zj5bpNP5+5Iu/fpz/r9dVHDl+9zCjh6MoT4nXNW7tEZiK
VzYqTTy+4Jz66x+k/THG5rfDy++f0F8OTI+HYz2HnCdUqs/QfSvqREKPnglKhy12hJ2TP004Lbvx
F7qE5IU9jmdt7GxU0ptELADPDsn1CCgqH1Bo8t7/Y07v/5UEtVi8bcVA4ooH/q9n6v/nnuTtn2RO
v37/7w7nGgdwg9YKiQHCjf67wbkpw0aTAav9Q1v783BuarRjLBk1k2PbKm+2n4Nzsgc4RaPJ1UVo
wd/KTNJ1RvB/Klcms3NFxmRvyNYvbza+9mI/bxmnc5xA1O0DmwSAZ2BYtIX+XbUwLGbldXgAbh0z
aNOZuom5rbXj2FNNQjV4JIeQZVZC6ON3LCDH3pNiggL4+ku0bhOBZYWzCeSTSRdbIH+279gVGZHX
CHM7/lNqAyE2u2wla/v4iYoVeiGMNWnP/NjGj1uBRmJMuH1CuG/HDEnd936rAfmyXJio9hdUUbSr
SHSMlh3ywpg+mHgY03sybiG733D5vjgf2YgtX+s/T+aUh8HwMHXRz7waCFaksb5jG2dMLzRLL6P6
Gq6Yi34woDU4CSTYemeNLnbrD43Dn6dqQWus8nRj3ZZ3fgAM5yHDQXGZYGdXFsQQxfhA6E9HEyjN
7ANODW4Z1bvQ9qB7+Rx1V5TFDvD58yVelMPKnA6witi50H2rgyDoVh3nRxrKLmN++CAr+QhvdyWJ
Me4uXj5Fy8AjdmbFCBNY6fxySJuRwzh4FDW+8EKG0fIZsBdt/TpcZsprLo/tlzoVfWTO/P28LRxm
F8C5LTxbyLdqjWJ9Nydh+MXwbCxavM1cgurBeNZYki1UsG84McxZxrPbl7O7ienbNB6rU8AgnfZY
hHbEYFe1FpGlTdWo8+pW7tFLuM1wHxmJM8afE74omA7ZEXKm9Wwbe+VHrTHrmtzpijwZmOsfKSBe
L4JbE3BVfKj6TLoBmGenfpvIKHRtZBvKWD4zCbvEtBxgX9/HcXRtkczhN5b8mqlyOEv1VWm8pWkI
tlO+4QUy3DEaXokhA3aeBxJb5U3FkJQo464ZZ9XZeksfjMYvM3rF4XRQ3BfQRUE3T5c0nvnGt/So
suXew2xuAxNqzwDk1FXxR5XIkRF78OLXYO1BzdCoTrfN9o7FzUWGq+9u+Szl7Kmhj2J536SZs+zv
9NZX7KjS/Cph+Xi1Fhw/2WlpKL0YP/uWJ5S3ydJkDFkgNUOOZmyIqZGkKRsEO8RB7SVfTo1v8pWg
IR2F7cD7UAI/F83rT80fSH2okSqok7rZXIBr6cjMd92oeVE+pSmJTe8a1pRt/H2MUWTfAcjlgWwj
9qK/EX21p3YezZKeDhOdiNl9XA3jtDn3j6AewCuMtaBoXxsYt54NsoCB0aN2o+X98pUy9rFHzA+T
HSed7DK3MKS2WIboZwAT4HIXJ61KZZaoL7tZtIw/80MGFI9cHDUcWZ/lu5Jg2mXHdrsFPxbV/8lE
UI7kwFEsuCT6Xy9YXp6myL9+QFvWVYYTpP/T8mX8cms/ly8O5KwOOpvZPwX+sVVBb2uZ/1jYfq5e
tI+JLzNNw/oR+vf71Us3SbNhZ6zTC6ZZ/XdayzQg/rB6/YvqS5fxmhjgWVhm/7gpU4xHnfWKI/ae
W5qScaXvOT8Y6+7JmFQr5DmyI9t90hVFB3anMYl8l26ovT3rwzoE4DnL5RKYA+eOoJv1QSczbYWL
aNkbWa9nXNnQ3V64ENLeBamVIJPwBG73Kw6G+f0rpVbdR5K+omjcX8iLwfTUXkjZoKVpXMM74yMC
IyLtUIbL2g+smpMJo91D9XlvuUejW7h8cnSxPPCLN9qIwqMbZPU77WFzfEc1HLOs4gULBkCV6hYb
C3Ky20T5oFMRYdBPpw+AG9qdUWgzuPBOOiRgYT8aeBStf7ntZdQGd5q09uCCfQRCBQZFAwvaq0iR
+6DFVncToJo+EDxIOgH9nkZ57TN37oM7EqzaWSk6Rycfgg1sG75UFwqmbw3Z8b44h9/FObfZkQ75
Z1vflg6LSlVN+vRcGTjZJBAOJNMFdBH6ctzed7s0G+PPKKfJTrnNcMA9kPzgfOfAGq11ZZ6oh7w+
Sw8UPE+613OtHKf6NJZ6qltA6p+Oqgu+5WXZoN+LPKCRM62bo8QTVhs6hm51YI9RCb2HJBEbd+iu
UBlvjOviA70zY9ZQv/OIcuO15JFM8S/eX0OWoVu+HsyOuWk2TRsL0ibNaIN+UdUwpjPnuND7mVBL
lMnCbvDR7czHRB5WWl3t1fgl45lqeZPV4wZbiPqFry9HsYafFrc3tgabcXT+8sST0HG3IcyQ6JIT
HchfJ/kwq/X9DRwCS374lnjhbZzTQp6Jz55gevgw8CdId7AXio/ly9J0Ufglqp84QVKNudnnexji
KmIrIm4u2XPb4VvM7ZQ/TMu94mI0vXQnljGgchGHbDRh+6GMgoShACFAFkxqY1QgbL8zCMQQc1/L
zuj5JNauZnpJr1m5nJz7RnVQFNFzAJwSBar63Xek6SDUmnTvxYvV3DZAt9QPAbyTtgneW9ycFZpi
F8DBcBaGUVIcGfpjekSyRFYdUKLSLSyv5Ak06c6uL1APZqDEBzqg5/QoPzePfHUDoCb+5/P2sAqH
u1t902QW9ypizmringcFe/8CHXCb3thvZt4ehTr38+YqeBK5Hr9Zz9IiUBmBn0yTnI9X2tbGqQRq
/45gm2s6V/2MaLvbxN4iL/HFPL4dfX8TnvBqj2qaFahTImazp00G8maEMdzkQDaHkNb4SU2CRL8f
NDp4F3o4WYLOeRI38zJvlg1Xx6ThKrZpPQVxpox0WsGlhuZ8juZi4JnLCu+C1r4ZxtHWxq3GPjpp
m9+WwH9z0quLkd4ve31GvcSzwsyiv0oF/mO1ZKtfRjItr6ltoDEL/vPXzGfrePK2OF/QRr6h2o2/
6aXAPnp8JAwejuU3AqCapi3VEJM9FQwgwWipoQU6U1GZnIVgKv8HF1K5WSePIIoDiawfrAYTkrXa
eGxGgIFCocl8Tu5x0EMDQ+nJhGZsLrW1haK5AhaIXrUJsiMLZ3OO8LKJLJVonKrER779vsh2YHR+
1tiSyQAFAbklAUK+9SIdtWKcMICzEd6hh0D6gCtPlN3E8C7RriWfYm/d9q8IcZTG7WvNbyBjhNM8
n8Z33XQfeRc4xlmjvcEJfqSiUvpjpZUJ4liY+kp7BJTC7DZ/dnCEHsE9W8JQ22lcWIk1u6/yJXpn
UVkNL9wCiY5GP4rrC6UV2ExMXEDHhZ6HXhl/lnwIGM/+t7LJalLQwGwJg5sgs8niHXIJjUPR8EES
hjK1CSa7LDV5afNJ203f0m3R/ztqagVhQwn+u5VVRfpMVhrkUvb5+98V2CbFQ2jlR6pshLb9+Dp7
mTFjFxk0P4rpbnrYwV2ml1ePeZVGvFcH/FFIfupPCYyIvboxm0Z0KRO6/HxRSDn499ReE7WsUY1b
FXFscQ0fAhp+jT3TDkWZVZD7xkX5H9Mf+y/kBNTpDdmapqoOQZz0iP5tdYswmVdf1/R/rUT6958O
Gr/e0M+Dhol9G70JzSgRJE6X+afBBDYlpg5sf+zvfx4yOP8ajArpXBEvLiILftciswx6ebTPfnMX
/p1DhmqIQ8SvHX2sNtw9oZchff2Py6YgveYhg0l2hj6t6hFp0bheLWD+yN4wmTFTag3yaf0YAPqT
eSEhhOURuTczREx/FS2meonrQCRj5l/TCkrVFOXmWgaSUIy7d/u5JiUAKJ8Ipg63jCgLgy03+tPF
/S7De0btSkOKOpy+8VWpvNLkDRWxOWvIxCFQEi+DD+E7Ds8ahHaSULCiR74+4y7GEjFAbI+YjiXs
nyvEtsU6PYhbF/+m3JEdjiUrn/Mpel7DPj0Y5+5E3BWZhGpQMIYKVLITUxfqdit5ReRgnZC6bJLd
vzNJmaN4IdEg1w6wg21MKGJD/3n5vsyS1+yaF6uHvKGhiGSGrpiweSjv7QAM7l6Nb7TJ5ilZ1V9Z
NGE/Utv+nUX8UhxuJHLphJSrj6nWCPrJqJGZjiEaJ75FyGLQqhvleOgOaBMqVI7tKjRtN0fKqj9o
w9BwuCUgrCblGLsB9CtE6NJX75B2qTwQyNB6mTraVQ4uH5JTTKPysrUbfdcBTqEWDE7vVSWlSZKW
LTabomFSltFtoZsiyaDGbFYUI/TUZ7JxvnERZtBm74rpDQyW45C7WdB9vAoreRox24vhtTwNIllP
GVtfq5hp3xKea37SjeCcWDJnMXt3uR2mYTl+4pZr75MbXZuQVLEdOl7Li+j1NGQPCb0A2x+VT25S
aQKvkvHy6pNR+ONxkA75faqHr9l7ikm6GF9W1vR4k+Z5ziF3lEPz4WcSRjRwvOH0mcyZEmjkPr5H
XySYinE6IXUIX4S0BSjSWPu+Ey7O1Obvd2KW8UeV1/l382vyyh9yisGR8vvXLxEtn3/NMv5PE1Ks
0OcQ0b8Uib8qjsev6rO9/6kokk/8hxv4WRSJAvuhvPiX8cEfiiKVGEmfJqaMv9A3RAwxbRvaLMpv
pfRnZQTYASiDVg5uPmrn36mMWKv/SWXUaedwltDw94mF4fczsQzZn6oqDeZkZXupd0m5lbpmX3QV
VIWIjbnClau0qt8P++phbTPZBr9K05qj7FyKwfw86/GF92MbEyDyBJVjv9WAqRSYVLRQ0k1xe21g
e4LCbHpyG07DMn0eGTU82vK9JKxTi7RZE6e+/jQPt47qgZf3XnzdYuaH0aqsltFJ/gCWhT5vlVjn
doFK+XHhE6BpoMzRs183g9/LS1Q7T2fVHZznRgM+V03Sdowc74GlYIzW4nYlb4fKC6gMCwZt+oOQ
w/vhWIUYqI2Bd2w7HF5HAySZfOakSDoA3J9uCEKMgPiV8S4wCr7NaOxzBv6G8AXM4Zn5pLpX3yT+
8S3o4AQGDOAXwZtjMN2DhrGk+0AUr44WT/oQ94xcvEvoLrpzhwYtxzLWjA0GMy03ClXWhM86s7zm
tbqgLgr1cYXJ4WA2RF2BHoNt3i5z2uPskeEzMHFhoAEvgtY+Yo5lvsX5PS3mWga3dJRJo4JKsUlO
PNC5dCfs6UWGcjmJlwT1In1QDeoIVNoApoec+A773Vpn5VtHYH+ROCDKdjwbcitiSxdvmCUiU4QC
TmE/d1ByH+5HUwUXNuHf5hqrBL3mbbuIz9ZKIWcdpBSiDZ42+u9DIpNFsu+grhX1ZVGDOUa35dgE
esiI7ocFFVii69es1EVRufhnnCM7xTb26s0wXRUQ9xHva27x8KqHd49Oif/yWCKv5N9bQq60fnRH
cj5LRvKBb+boDuCVNWuscVxhIk3G6aydpqkX4SDqYQp/hsKeucgqfQfZCY2ebkHUqicoWCyirZtF
VfMtNqQvVyUdFnmYgohc+AgQs+hna0afh5e2pxWif4QHbQacJB9SlG++zhvlW8Dq9DO6FW6B+NlF
dUV4VtDPjLditzpVp2RhqJ0bJZOBTlN/b7yCowstTzd7bGLvTnQsAYobHndyG8ebrp6gsnEQ/mhW
fMwtHiUTdlLppFFHiKc8N9tj/K5x5BtVycggeDofmHe95lGGiUQF7AeLY36rxmz4MI1I0sSu7VVN
9JAnhTwrdB+fyYS2n22+SjEufUgbMnwwQ8Us002eUemberFtZPn5/7GW/PNV4veLxP/+L7TPZkos
y4plUlL5/VdLyb8w1wEaxtXXn1eUX27n54pimSa4BgtV9y/MDVtHIc4wwTRsVdYo9T932qR4sWio
Ilvw15gvDWQ7kAzFoq30N1nr2o+d9M+d9m9ScTb6Fpx12+KWf5GSWNyJ2Iwe8VRWh0BBapZrxvpW
I1m24rWuOZPe+FDCwTeleoPkrXO6jYLAT6eZaKuvsURBLpGvKebCwpR1VxDdRkk5t+V82r2k9N7M
qebQ3OjqgTzY9W2mTWp3PYKUOhTs/lY9e9Z0I7NXu7HRxazSLZlmjxxcsjG0Y6y4AcnMS+WEl9LN
vpAtn25fNgknJDOfbm/F/g4zugIgXdRj9J9fkI0D56SZY4dM2iUc6Q4UAla5bo6H5/HRsbIwd9xo
E6Qz9VjKpzVtAzDLOOUI37uN1gqSmreocWVj/0xeMSY/BBlyQbF1sY2ZZ5HtaE3wQ++l9+FLfOt9
jVj8FB/Zgk5pkAfZ2yWaiKbJ2Hp33vXcjX1lUi+TdZSjw5pQFGhFtx6dYo2p/lr5cLRPrTgwAHD2
8uVkV3Q53OxFR+YN3yPDSSWsVrdxP5fSZafLk+ecfbtyKeh1Ygo2X2/L21dSeLS5Y4NQqvds/OCj
+WgNLJmAJJ1NvORucHw7xpLFh9AioxnJpmtQJLEys2BUp5B+k5JuMZSiv+Ycsr8xdiHqnjMEplmX
ZYsQUAzl4UzqjlOkiX6C4lx01CU3Z2wyBMiQW+dKvIxYVjECsowoHtC9Wl2wCFlk1lyd7cBugOQN
ivOgLphoHZrimDNICVv1KlrnF/G0sDWn3a24obEiHDLjqfp6zpOg/OKuZjfvtk1R9zIdotn/Ui45
5Mj3alZb5iYllCvhEAfBs/LZ/sCxKoBHdskizNcLe83s/cnAZ/wk98a9mwWro3sjN2aY511D4Niy
+TZTdQ8otAJJQg9vA3tvgERw8WJjLRH7ps6LL9NqGLeUfsqgB5/VlF53ygmA05AUzophLNtbGEr4
wdfysOC7cSt4Eqlt6jy0sPguJXgx6vwpfXcT6RWEIePeyO02cTVVgWF+DMqI9YH3SXpojFXPcIFz
FVPy4uUSBx+mNS4mzycO8Cbod5GCDOnu5fvOrsZaYnvP3NVJn2vGCn5MYpPNFfOHqX4aoBJs+xLF
QCA/ypeiy+e5cbU6//Ku4vTsQH7Zz9csj44FL5nBe8N0w+zgFm5TSAc7VuCpDd3e7GH09g2yB231
988o/73WFaBJIPkc01AgJ1Hb/+3+zf7rLuAgafrnReXXG/m5qKBzRJFEB+c3j9HPzo0jPDgOY+p/
cAB/t6jgy+GgQkYkfZw/tm90DihAAjk+CDuT+ncOKYolZOO/LCrccc5m6MqZV1tCbvc74V7bJE89
6VPmWtneKBEKybpXRQa1xb1/JaqYwUgebldp083v4/oBvXJKDanAgivLoVgJKEae7TVAPyXxTepY
wwWoHREQqy9QMN5s9DkNybr1aq27LQDzfgp8f96sdSyAFhNEl8NMu9XImju2u2ajLapNtXmehvJF
c6DAZtK4L/fW5L6nmTHEXDaCGZQwNCsRYjm3aQoUOo/5cclGyu6rDu1FGheT+2VZdhNecxGSMHA2
qQe/eW5sOh46OTpEtRSgRSpbQkxLxtG7QXxamxL29/mIJV+n5VTkU+PdOCndyURS/ARNirmHWC4g
qY74nSylx9ZSNrYSVLASYlr1FUlCWIoNKIDyW96NjBPLn6mfbK9/R8mdbIhAmLfT0I1hG50bjiGa
xdCbGFFqLEbn2oJ+jTVDDe8VzpJ0c2ktT1WSiaW0jACjGrFYoGFw7YMakXivy/7WScbD7WCZ6eLZ
29unyXGAMHO9Wt8bZ3Kpq4lamvM+rbePqBnnAkvKqID0OakkCYS19WGvw0fxqmW1H4bhOlGijxqT
lMWt/E8vG9jnQP5whdJMNf+ybPyfqL03dYyO/Vo18Vf1zyvIr7f3s4KYKntIW1X/YVP8WUIsjIO4
GBW6ub/FA/0sIQbXNL0PVJKG/iMW+3d9Dlsnr+dfgUV/p4So9Ez+XEN+tEsUnggb5OkvjY7IesZd
ITTOVQ+EX+rcAZ11Jb202czUZlkTGOE8npjMhTaXb3Bgk6a8ofG2R9ZrXDAEf57bZN29O4ADErd6
TPVltNDfSl/dImD4kGtlYrFXlTvLHQi4zs2Ts27VGZaTInlRyiUL+y7RriFmfcdLOZ5P2h2Y9Msi
CdnnoHFc2f04NglRn6q39ws5h5AbWgT7kTs3bwKTUHySaje+fengIdXpk3iT3r9BQn6b2tnn7bur
joBR4ykAy+RIEEbwONxx/7FxYpYHtBSHI9epLZ3viLV7nFvQTqoFSvZLGZjLbBgNGFLw2LCZwweo
F3P6y7UdVLhwaK8i0nfR2uRzJJg1uEuCHKQTXy1PEvQAZz5qPtftkfb3fQp8yKeFrZ3ZyS0DnF2T
ePd+czwxk79s6XBIPl9XOePHcMJaaO4MeXM/3AWhjVyLx4KQFF9FbUirBFOI5DP9e0K9o/BydOZc
TrQFyTUyYUCriNZ1cbDJFTgXBw4bvQfr4cU45BNOwsTA7vTVxY2/eUXs4tvEsq9cERGFnzkJCI7n
0HBFjnfxHxfU+mLBuHxBYKpoV495GGcofShVyO2G81kuefYousIjam/rb/Qrnr5t8ITygh6Nc/EI
es3N0j1CJL4pI+ECq8sI4szmjO1I9zvLe/DLjtwBhw/3MzmYcJy/Cc3AnCnogzbJxK2btjPFfocZ
h2T3PuZ5NBlUPFfob8zsqpDvyXOiLWS6TthYYCNYwEVER2fcJb6MB1K5RmucLCabfG13f++xn0Pq
tI+xdmrar0HdGzuF4NKdE9EH6D70zVN/K7AsKLdzQYcLL2X/gDTbk0Rwx/D/0PRJ3eF4ADj92fNs
8LY6ReCVfoPFZGOBKHiChOLH4d36zLHWVzS6aiip5AN4Dg76rwe6QfIga3JCnl6LjakiBxZuQ+xu
Hgvr7ID1+eal7zENYv/77rJ9pxCc6WrmrsRGD4q7IgkFMQucLGTMcrZHjBh9KtI1X3XHVHcrVr07
HJzzg0Bn4dxCeEvvbwFBWAFvwaMzd7p11p9v6UG8ib+rYe98lNCizvosLdbMf0wkXOVRn2Um0X8B
Ic881iuCUOXMS8YLDySIuKsPe1sBbwFYyr0kp3HEdEU2RnbqPRQua7dzS7KB+xWj9oh4XZiLwTP0
jwAa9v3HWSq9R4ASK6m8dKpUE45oyL3k+5e17hysyHbquD+0bdmxrwgNmCKLCFdIvO4LpHHZqNd9
rTxhhMqVueQII5YwjfiDMscbq/QfXT/GY1sqc9kiSAV7l4oLKg8nNk7DwhYDildSSfnanlEE6F/G
CNq0v9NOFKBXzlRo1dKzXb6VeTsyHke8tczAYqIL0HbuSmsBAjLFldML95g0eJdPpOX1tcGFvYIC
+dH5WXhWAVZEGyxdPJMFj8D0uu7KaEpHobfgY0oAtoqrF2Y7fijoUniKLxg94SUyRu6uCdOY9MSg
bpCg+EzhKGrsohBN9wsZkEzicZewql20UfzVvOuiAyaU7CVzEVJ2dWlq8myVDKLeMdwUBF29dI8D
3/BlrAoyStwMROVG48ElPs9ezHEWUXYGQXEHIctBpQ7bzFPVEb07gZEnshGyYUfreNeIqFEYwmZF
ZK8QEDffpCPQsL6CAuI4iOpB/P6Wtukq4yPRisxZ1FhEVsBuX8le9smnTdca35iNbwXFwkBiMVNH
AonBkcn7joOX1bifIVLm1AnwGA5JBFqHKWRw95GGBWyxcBtVb8lsmNwCbF7XU3kWeQeCCmL86EqK
lEUgP27q46dzE7/i44ioRWpKUtOL3TGas6FdQ5ue0yr1tQaQyOJLmBlvLyG7aRRq3aTXpzfyp5sF
gvYnLLRxv3gCslQpasBQQPGZ4EyiMf5ld4mbGmtaMdVGL8QssFSoELFHlVD1GTvyllaDrwN9031k
xjDfkLdPgFx7otA75BjNiEta6XxC59PJx28UVcEfYQ4Kx0z2BXfVCKyAKCWXYCT8nxRSeCcijU9A
4OCdzUSwEPlvInbKU/lBOaizQ+S+47EehcfOV4DiPRcVI8n7FDdp5/OzYQiIX9lKfDse/oBsN5fP
uIUnWGUDNUB2Gfpyw/jiZ9ZeJcoKGh2jXzguUpDPNULcUFX7OvlGN/LiqVJKoH9TPqp4FF4JsqYU
vZMx1Y8KbfTO374KnN8ip+B5XBWjBekVG6Gp4S8wphgPkHygN3jiyeX4xEYoshi6j4jiyJtCAJzS
HTZm3HOXPfMUMhba6YPp8rQW0bNT8ETAU/AYtguuTjoTBWkYOBXGEthVETedQrMKecvecJ/zXAyI
JW+C3sRsAvdhWx2edUDb/qEd8OvxAjyEQxsszlQFk/OAhcjKNiqWjnfx67k1bWVS1UkSiPcMsOeW
JwX6VjxrZAaCSYScJIWTUp/K6bJ9p2WRvNSndJJMQtcPPzN7Iug09106KYHvuf1YVVYVdNPvDvZz
wPUvoGHHaPV0Sx6cPSlV96UhGBve2lqdDNM89jMHrpc0fhybcGvMuLe36SvtmCpIMbATjLAm5Qeg
UIPi5HMwJ/fvUoReyOc4BKrK/Kgnndsvy4NeLlWuIgPHLmP4aoo9n6eFe/haMhhnPEBeJC59cG67
28Yig8OZyQt58VhZx8cumSfzfsXdxxIX2EEyUeNRFbvZJx5137lNbs7Upnoz8RZFcJo3Z/2MW/au
jvODNAAzj30RZyPyRoZRsSo33adNuNFlxFh+xPV7p5/vIXX1ThCB9tW4cq+wjXa8pXJ3uhP8I/BS
kyggV9y3yOZh2zUmqsNjlDxrFopHp+3JKnFzo28gAtAFZCY8YCpXF7JFskW8EHFQjI5eC2bMgGeJ
HFlO5Y3jixiZGbtkRm55NdVS70fChd8R8WNPw8avgCmRd9G9StcnYTrWG9Ltwb11cxV1MBvKzwTh
joDUj/KzslKZ+gjAoLq5T/IPeHktuxVmKNhATO+OBkJZPIi7UcHhQrldFBMBNe5Bf4IALlgMAruc
5sTnLOEsrCpMQFhcRCaMr5MNVFwvHxbuD2TCcPEQr5mLlvbzqCaLyRnrQb+kpUhuygBiGK/3IvUL
F6O2McXgAuBK5F49ubmm8EmGnz9cbQzUABxCtIKjNLOdpUbcGOla+hjWngshAzW4V0wsPwT4xsQP
2xHMt5A/ib3xuDG/mzYrh/0iKVRMu6xwqQLeq71T+YN7xZWxdaJlt+DNdI7aHboDPL8Q7YPmyE9m
mIiG9tqT3bsuQVBfY3bqHKu7IFG3LEJ0y/e3+3og3I+9DXnZ7GqvCg8E7a5nTzDljuQJiwMRWZWb
eVmgsj7AMuFKfw35olBAvV6BIuAQ+ngtBIvphvUldILm6xYwsyQ80H7NEUyD6gBMTU2NJ9kqOdCy
Z6+DOIWPsT/3lFND45LsQSaLGbxJ+JXw+2Ca7BR+9YCcCB/o/fwj/wh5pwEtPMbg/8xFedbXRHsL
Lfc5O0fHCmuY9a7lGzh5Fv3JFeHuDtiAzFfpqZJbLNhhInyrEIWSwBRWRh2ElUCSMQGD6nVfiQKH
74eVlGoVBvnmeQTIzBfAQ/OEaFFIlyFFoThFBcw1NOYaumwi72u3OS0WiNmuK+hfnGVGi9NiIz7G
P+H8GQOsCEBKV5CGorsJdS3EJ3TzygCtDD+bhPCcjRzCIl5nwDQQDs4MRjng3ecVpzYxZuDsJh6C
aGdrlQBT4IkyG5LZdbJyVOJt6Otilf1BoRKJQOQERM8R7jwYhxAOZyJ4HLv04UbaTwXxZcuLHpGk
uCHjgifDeUnnX5LGVfGYPEYmRzYIaD27NHQioPkA7P8AZ4nUJz0g9alpAufpa/xDGvOoRTiZyHnj
yREFgc2ZpwyuvhdBUy0hNZDThOZ/4rAr982A+iYbNNP4OPW5OuZTzWeIP2f6ensdFhnnxWHPnyLH
zBijDyQ1Z4YxCCzhdKHMLh/tQg5Ye7giYJMLlGNOTpvBHJ6vXkhbXmWHi1U8TlIcWjgPgYbqXDzU
nrssXml59PLKpiV+E4DVm6/7SJRYrrHHicjGD4J2LNdYkrgzqeaWr67ldUxgIDjxKaRNHpEGkpOw
o3ENasyY3Q4EroEPs3h3gwogxBy7ezS6sgwIqp3zRqQI7wVelkBDbBVBd3jNXpuVwrPSwz2fFkeT
1hWgxNGrNst5jcy1iANSeQblz5L329OVtnghKRVPpskMauFVVu7rBzhc3hc4pig6FBlm5EOxbIY1
O0ymLQ4V1CWwlEeYrC8QXmvM2IS+BQ14Uus+kzhUwTg/OC+6gvpcSDF5d/EqRlfxZJP9O+UNx8hj
gYihJDFNZC5Ys5btKl8UTkUAIMA+FEm1n5VLDkucZkLIfB3mgR9/Ja5tDHZz1m+dFwoEIesF2s5s
WbCM2sSyj4aTNJU2MKxfGVpLyTEpX1pjLMGByXfDXNrsayDO58eZHkYFMLma0KDUupONtorxIMQ+
BlROjqaZtM19XmkBwenpgmBy8p6gNSUnlUtH76cXhzPRsMrA2DCCwv9wO4Y1m4rpZWnt9aGnvWBY
06I4NLqv1HRZmjIYEs/shO6sECfSC4BcjRfysdTUq3Tb1mgHyF4u7+PseqdEaoCRWl85g9pwym1C
SIkCeYM+xeBf+gVmv3Zezwe2gvdik1+7nr4JyfS0ByLDrzH+C1ugDOZB9+ydTNCzNEljwKGupcP8
IRTRWOq5BwiEk2Q4ZH6ouMbU3DmfBsP892hpr4jTsHf2aij8J4UADqGxVJQ5TwxCL/I1po3HSVIF
RrAonhvI2OfbkfTf/DNOqEUtujbEFnR9M+TStk/zCMeCyLamPXx31vyJtnqmNeMbpiHW3G5eX/wb
CSwZXonK48wq5cukGZtloL5125DNNzdpwNoQvw3PaXkpJvUM1SGUjZvlGfWMV1HXA0xFl2Uf6HC6
rHUfLO0t/KzkIH5Fm2ZhzrIV/RlqHAPEjb2E7nyO+pyfqWC+uvTrvp5l3/absVdxSaXdvoNtyGKG
HRFwNf2pEuF6O6tCbyB98YmggzwD//GqfGqfwFhymjIHZ6GuCl7nzqUGclVOLlxgYHJpuF8deW6D
1HQO+enej9u2Hmmb56tuzFSGyHda3HG8vuuebF0IVWNC+F4CxcXcvMW+mTwmdAOlhbKRd+ruglnG
lXdSIK+wdNKed8N3cT1xsGoJ7PY8DJPOQd31r/lEhD/AiAisReFVsBlDV/GjebVr6LxB1EDqAaVx
Fc27Q4TvfyMvVs9rfXBmyrE8cHvWrFhdzt1CRkPCQSin04JM5lJ5Q7W0LqvaeX+9ZSwdVFk2nFo6
G1RmIN8pYnp5paSzwiZQBvGpAibLmqMBcaaDenP5HlUiOBM6icSmK/KH+GqA8frueA9zt0AEkXXw
zUam2opjK7MGa56WG0WewDRBs8M9yA/NVQKd9PQFAdSg3N2v8MToBEGVioTjVpxOSAODyti7XJj8
LCCjztYhh+7/knde2a2jWXSeigdgrIUcHo1AgjlJJKUXLIkSAYIBGQT45Dl4FB6HZ+KR+Pt1q/uG
qm77PvRDu+uqJIoBDCL/cM7e304I8ImIoBQYUsG+NRiMbvNiRDYdY/5lfTN5UgKNwjYWW8+TPCiY
FSmVDTA5wdQi7Q7B1IKFUeKre4V05HEt7dCgTrtzGOF5MFHKsI9Et8r9WEMDVS9QqiusXgIxiR7C
vACRsgmjtUUU4/Sl7wfJY3GN8bQKWqS07I7sApI5CZMJN7OGGc9n4ayYCqRVwyLy9OSsMKMN8y02
hzdxjrBLAZPIt/y7+t2R3dVerkm5vNujG7lDhxuXKOBUMWFsWdxdtjWjbrM/9wMkVLe7r5Z7FScz
2iHPeWUIBkW5SLdNqHn6yhgZy2oHCiJ2KG2xwgeKCvNzZ54WWQ0D+bGvYESkw2pnLQG3zBCZdiDT
AjMQhJKMaiV7AS/Olf94ibyK2lKlCYrA5v/WYn073SBA/jcarQL36H7SbG2bv+q3/nzE790SxOjk
MCiqZmgGPdcfZaG0Q0B5ypbypfGhkfG9XUK7lTwGkyvI4tY/CuY5R8cURgv3CyH5W+0SWyBu/tRx
/f7QzV87rnGVt6pxggwuMd828cusu9Ol69+KzAqv0FlIfhpr6tJIhnfHK2677L7WbQxc04pE7HfY
wwOkKvYEcXppdi7i7pVDC6OB9Y9XkQX4utCwq+vkzRCNTeDApPTPx+uxSrx6rw4xVLL5HTU0GA+U
V6mzslRgkimODjBzxZWZclUXNyvorEBzKN4l4jzwyVb+9DhdveZ4K/2TuX/YLN2B9VNJF8J2qART
EMoLSXiMwUlnGu496owmrVRUCNXx5Dzm9wu1nOQ6lLHh3qm9wmlJjEqcxHrMvaCEQOOuUGzCY8XG
C2jeloWKGi1puzIxPhzxaAvWYpjm5SHnWJM7aGfXkTztLqGixLOJanILwU+5zq7oJnUWBKP0KBHQ
Q8UCRVEyOgd2Pig6usOIa/HKZdfPiFoF0F2a0mjnyYHJLawJuyJFYtOzKFBL2ts6YAXklGMpHYMJ
hJPvqQ/lnfGCUo2tHyR7rlqI1IMHOw6tWMb31Vks+cSqj5LvYyblRFjns1NP/tdO3+nvmLju6LWs
yCGQF9PzOTDxUr1bNKQrGtPOA0mU9GTQrnZoW+fZsqoCk1fGISyC3kZ+D1N5lmi3sKPpbVWXuZIu
73d5bHSmr7A1aSjumrTKe1rmHa1z0mWuGzO8FxuFtrpKR6QrnvtdO2/noszSLI1nFRjUyhBoHJK2
PY35ZWFP8rGoI/Hn9SjNNIQmM5XOq5fOU54J+lGKrfVYmLBHGu9xx5BrrtGKBQUKgXJ2U2a8Gmd2
7C2KpA6Uvg2QL8AvcFYn2adEKs9V904KOpi6RMW0PkkT66R6Mp3pR+uxFGKm1RYASIqwZdtnKLdn
mfXnWQYOxapA3f2nN6kNTSWABiSOrGsiK+wfa1t2n1V9zWhU/1kv+csxvg+1hg1lwXSgC6hfAscf
bUkkXMrK34UvPw21joG+8gt1gJYS6M4PnWlLVw2606othu7fErcAYvzzUPvD06dTzuU/iFuupVV1
Z9NORlIZ3pLn+kXJ3Xxa+7SZRrcpXSY+TCRbNiFzOu2kKpubysxKAo09nncnRSB3kytgxFF+J75G
p504YUTsLf+af6jZXCue2NeU1Pu63b4hUfMylqm1UEOiwbzSgQPgGz3SvTyxXaC8Y7ADItGJPjC1
2mdS/q5vDI4n0aVkfKG0ZntgX9gvjsuTi8CeGB17dX5LKKvGs+SJSzjzNO9omLKhpB1MwZy9CEKa
gLsdE2YRnl7TDUZ4bIJfv53peV9n+FuvnzYTB4J0pHpY5knj2bcHh3YABW/6kfeXtYX7cMzXGTo+
iHRtRM+RplA80+1tpBHOsYpOEzN35dPSyALsh639cjstbB7P4/06Ez0uoCpTNXev7Shd5BSOSRsk
95h1KxJ0OrwZoT7hFYysRaf5gR8IE9CkUwEIEq47UOowzSj5rHV53+ybYT9LgQlvWnoEsggOyakx
BrewZUtfOxP6hes8jJ6AH0kAl6pFwxRIgVDGQHEdK6Acpgqdadz17IPcop1Fo5zg+54iwe2tmLbn
HStdtQql+3MPxPKTII6zLWioRQMXSRBTKWv1A5FCIeFkr8I8m8CpQcdOtFrnE3qsEujuok2PDlTU
28bHeu2ElXyfqaVPmb+UAlVePi5g5bsCWC7aSrHEdvwHbWJ82va85ZXwH/Xicru6cbkq6UWjvCSy
eVLsgJl2Q/h8JU4Gy48hz3BDkhjIaewO2Jwq7F0R1ScfYCEknZpDVe+knFXvbM0gnVb2k+iljppt
Zk+lHLn/gpIsbQN7y1Edbb7CxxRCBX3mRVmaa3N93RkjaYDz3U2pD5iBbBFyZiyjQPxf3D/Olae9
EGAZVsghXWkw+U8fd3VH02wNmxF6GIGN/8fj7pcn9H/9zzf8c9Wfx95fj/N97EUeaGD6BHCj6ISO
/bjMxflpgFqHTiMUOVz0fZmLTB3NkqwiI2cxzAP7PvaamEUZy4WbU9XwmP5G9jDKpL8Ye2VWUJqF
Z1TBBvXz2JtK5knvYni1CdVIFDzlLDdqz4JlCSM31l+66NwgoBHVaCrdsRPErY0yWPIlokNUCrCy
RMw2ebN2NLzfXZ0kChoemXM00C1UuRYWDoAPyluoB/hY1TeqAtqr5lyoS1peSiHCqajmkBNIIfyy
c4BY1JMLhfyhigMDQ1BeIhUBvaKiPWoij/a00k3v0ZF9PT35FBYGnyMoJXSviwZnUnO8nugH6XPI
13ynh98CcjpnUw5K6x893hokrN0+caFMK1RmMBqyoKvITKmsEEGzw3KYbPGOktema58F+Fnu3JZz
8TSRuV6no3M8PBN3RkvpMZceo8JYw+RK5kk2Me1n/SDva5llF71MG00245H+YS+4hlMOuDYEaUqN
JhKNcgRx+SV+yo1B+sb1pGgnagN9hCj9I07e9IPgkBD7ZlCDJ26oSsY1wFcTSJlkJRgmwZa1UqiM
kqE1qnbps71OPxOgVIwFO26QgtyiABzgR/WqCeGVI2M/K94ZnIqdWUVhLMHBglLjJsrCwBVzkTFq
InFpRoY0t5ldQ2biBqvpowDZKOPTAffDHKyWPFRGTAsFRslieaPkr5Ec6LjKEpSmun9N7m53I/gT
RQJWq2WS30AWQdiiueYykRUM3gqxJ5RuYW8900ZH1zHKJufdKfN75sDXGf1nioslf9n/9CEMHyTJ
CeQHwI+CRfVPhrDp23/ZvP2VKPrXQ3wfvQxI1rhpdITXQhj94+iF6tnAo2nDb/wWpvh99NJBRbLk
NP92yffBC7+ODalR04TnhpjF3xi8vtbFP+zR/4CMCqyXRlzun8netm7FzQ3C06i8pk/O5iH1ZIlX
96fqWLK1NQz0dg7KoBQ7MnbvQ0XbgRoX+rbWvTxdnshnK9wZAXLn0RWFch0ggjo5ucePiIxTBVEi
mj5p0tNiQ6ohesnp0iA8AW0atOZkqTjQ/B63QK7fE/IB31QgQGXzlIPJc4DQc08a0rN0eT6Tx3dK
wk7Y/07rnoBwqCDjiFZLmlXDW6zMskTs6TDplOQAwsAaR7d5pTydCk8mweqaLdMY2HpZgA+3FmpN
6Nqq1pW5g4ktjkdoK5BoX+AoTXKMbhmed+F7s19yTHC3nekLSTIGdDd9t5ptL0861DmUirE1xvD5
rCcdU12EjwYnfob/e30+D2GLXM9L/CgZwby3diljzSvuhJ/xm1aHjTKw5mYfjWOsdP4nsV34JLyW
Fj4ixLinThoqfjTmtbsH9zlL9TOh8/n9Q4d3zp0UdM3lIV9kthX0sLR4eB2exhe8Sddx0zFIhHX/
mdZevslWlXdZPHbdzlmb2g6IIwHdDFQ6kUP6op7E6FWN3oOYcyM3lvyr2QUbvRXCitLZl9ob1BAP
KrK3R+fFosEDqFKloGWPzjOmkHrHrv00c7xLRJ/xrH6Szkb81iqJluaGlpIOX793l5n2kRgD3aGw
S7WWfpJEL7IO5EWrjjkFCbt3L28v/Ib4xLodqTYAoaZ7Sq4urYMRRZwNzbz+oEuDAkyNS7ukq0n0
9a1ZQ1oBtYcMbBrgFxGCi+Yc7DQaryDlMc5qAjfQDZHS9wlN6kHnR+K4ye2z4T3+0C6TTD8PC9Qm
dbpjGX+S547l12/xslF9lFhPxTnAYGsMLzTDcvZQxyZZg67Cm6qCM4zf7EX6htcXjb5p86RYJsuj
Kyi4uNzTCtbkFWFQ6kclvZYBKofLUO6J0EuNt5MKhkAZqhh8azr1LpEBU4phvkxi0pguiy+L1Nyg
9ohPDrRnqiWJMzFb4W81J9kiXeXauPer623W3pCeoY3TjdDpvN7QA1uZV90W3pWE4yfGLdMQIXg+
WBdahQpKTY+v+tV5pF6KmwukikMAgQ2bOzgPtDveXD7OFKSUyLW7zq9nxUKWvEeM5osWOoGcak8O
RZEOzOuT2kzO9mNr2tiO6KUWuAYeK+1uBb8/9fx/Rg0AJKLLlmMzEQDk+mdzzzqrvrLV//d//x9M
Q8vP+kT1ePlWl6c/14x/PeoP05FY9P7NwilWzN8l9qaqGEwDKulFosrx42KaRTZ+TACQTDkCv/J9
OjJUw2SBjfTeopJh/s50xKP4i7W0arNkVyhPY/wUl/9Qx4ijqHqYzuU0um7tdDdDDX0ZMVvU1d5e
FXnqIgijLnEZ1bgdF2UVZMdk2hPMbvrm69acJfSIQv0SnObYmPfRbaxtlMY9vWeibTy4NoMbhpbC
Lw+sVDtl+jgPwGgoi/u4zWcYlwGMx8pQH96mxuKSrKElyldUedKGT8XKBntImhxokG5SbKllYCFl
YL6NhMo7eoQ2e1pVGZrD4s1OR2Y6yhRMgHwg0GgPLzlBaYNrNAcfgHAQ0bbWePKRk7JnD+/nsGTR
nE6pi+TTbNvIs5ywYhIIe2LgRL9WOWiKTxmn3YvC8GOZRUucmBqlcGYFisQBS9iFTLAj8zHAcERk
pCNaHvJDltiAScILFY4eygzSVaawYTKL160fr2VrUJ4lV6+OECWZrkMlWVrakjWqhWz3NpbXzJm8
bsoo52pSfMgRfJ/8Rg1V86lblkg/r4Nsbh+ZndjxoKJu1KGJmnjbIrHsyV1Ei5fgSpykLRscmFoe
HoPaQc7kV7yusGLoB/KyOt5tOROKznZUza3BvXK7EQpM1wEOPb293F6cgYK0k/Ddyq2X19KztzWB
cVwkXSEla9OCUg0yto9UcyXWJiCeR9XM3upBCaB5fQ7hz19Jonw3hD70HD5GJlLOcmzA7cSSH00b
UpvLaZZ7TTQtYYTVpEAx49OSnSfUgrZgrIc9i4w57ivKv8j7bbIQhDIcYweicxrTSPT3JgmTF9fp
d+l1wN9CWzUoh0ig6PyK9RH6SZSYJKegN5pflKXUEx1BzLKQw5aTPg10ihYKGzgppnuvDyPnqCNU
EyTmNkT7N8RO66hsYwgvytYSf5pPsNQ4XyMfMHxIamsowj/vkossi6ksGwNv9kgEkCz8khOEc3E6
z/tHIGfPWVmQFTX+ulhfft079axCF7k6QWIjNKBgh2Raifgz+WfcutGT+lJ1QwZ1h76Cm7NiY2WE
3Js0C9/paHCjBECj3DbrE/pE540t0iGd94jogWiXh2wiTeGuzh+iX+LfKI9jX14rMIkKqJcRnRcv
l8OrEaCUBM9BI5iLsvyFNNgnSUUP7dRT3XlOL7sgoRmNI5dCFbU3o9iiidGekvUpX1TOMEfl7Dyz
uQLcxkzejDmGjGaPuhjtZmBh2TGrRnGDaq7ecqTrE98et6G5jw7XckZ8BokU2PzEod5I0pBQOjzm
nIeUzkFWCNdpbyORpf5lykvjsaimIB6kMTkh0UHjMaODItd7XG+5zWX+jbsgEwv5dZqjvlzQX1WD
+3mKhJMvk3aB7nE9ZxgdaCRcn5SjVE9pZrSogowAXgQtB+m8yy6v7LYdSM8QvyvKeNYNRavPU+Fy
sjK4YiRkVnk1oBDHq6rvuYwkI770jtTskO9odHlGXJV+BTfjoZKokY2iAwmtIiAyXd/mOjILxFrW
0Ra5SsOG9x5iYNRkxVP7loSR64xZ3j9UwR0RfBLkA4PcRcaEnNOmmNioLn9H/jyEpDTatEe3ok1P
S17A9LqxKShiuT7WQfJGieC+79m7l1vFRqwxtvLl+YnHVIFdH5zYIqyVowhhrLd3bP2DK1J6FBqr
4n7I9CEp7s4T7gNiymMXY6PxIrjVdLJZOt4+AV/I7+B6xbtIxAjnr6gY+Vd7IqiWABTk8BdIIety
ngyrDCTi4oNAFDUb8ynUs7GtY79G33kDkUFMp/T0+2uZ/wd38b9TeoKh4cGj6WwAQRIhUf+4FBi+
XfOq/nz7+IsWzM/H+L5yER4/h1WIJVoprEF+WLgYgI5MmZb7l/f4x4ULSxkRiGgZ5Cv8EqDAplcE
Lph/VA9/Z+VCme8vVi7fn72qsXr6ceWidHVupJf0RF/U6x8jSRqwUDkzYF7outLzGxMoiGTLUbcs
JPKpdmBfWhyNDa3ShtWJYoBlgegFnD/Gr7PVNlIN8zlgfVKmr3do0fEbrDEWOrd8ZlAhvE202NcQ
AlPwb3d39JrnVQnf5rTQMOmQ5jxsCTVid2fFRHZN2pvilbHhZ6SVTK+eDazdIFCMOt6VMlrtsEgw
lph2bua4RtF1TNvPRz0vz+RxA017Magrjh10amJk1KZtikFBG/Vs3lOSlCZkSZtTY02ZK28G+Tt9
5Af2n1l3nTunzambK/WH8dzAzJiYa+nDXle3kR1Yo2IHFfq5mKh4iIgvS57NelmFRyfG9lVNamqR
FPI7iw722f+XfPb+jYgx5HPaNCeJS9M1mQ/HP/7oTU7l+fJ2+/Mn79dDfP/kkZ5Ja1XnO7xg+acS
FhAxPkO46m3btIQh9ocSFp8t2GMUskwba/+PmwacxBDNVEejzMWn+bc+eor1F589FTwatTSNz79p
/rJrqJKiidU8SUfO6bWJGp8f5/PGQISehobC54866K0TX47TBReVySlGyu2gYO8GbBBQClIvaWYE
MZUsxPbSgAIrX2gC9VnZDdrn7pNSzuA8MHeely2ugwRRhlueXWGO6vgE00T1UJvQZGwH9d6e2bN6
z+9376bBp0KrIsPj8MvNxUfxMrkNrN1TneCpuD/TKBxbO7BVtPwnaAHCbo8qxRACkfgNujkKldUN
Sns0I8Ftby2MxY28TqLdaHqZq+6z+wyRDC+6z011g0+NBB9rVxESQTl4I0hj/iFYGwYrejNQNvU+
HYUmmPTAw+g49WzPmgp3a4RS+YM0Ll8ZVN771TU2p/mrHPTjepRMDVde26+XEYgpXLz2sHm+jp3d
Oeg/F9ZuUbw67xqra+f9Or4NspXiOu98YdIiqRidaaC4pfWs9eB0aIcWg6MkCTw+FXm+o/UNqZH4
J1a8d7DNdeOhivGpPHYDxDXmStrwOqDCAcZCb7Hx9myKblMcjcTHOUJB00xYN4FY90J0xCv+D/sd
mLfhaQPHIWQFcJQwE3TibMk/9rW4V9BYItIjoTF4mxG7faaURIGEMzaAU2Y8tHhw2qxus7MNEkKi
AjhAt1Mde0LRXaHf4QcP4cImlVN8ESmLp0KcYlDHdskZhM+BnuZBs19DboS+RzxoFnGAT0o0rqIq
eQ2kDZxgsEBxgLKIL/a7e66kD4VCCIevJvIKOMET5WxeB/RF5ooHw9Y0vmzU26Tq6QS5iGnNm3/C
eUSgHkY+B8WoOqtf6Om48qt5FlfQ//b9dqAS9sevnCj4c//8a/TpfzuHoxWw48Y6XZjuj1tweHW2
zdheYuxR3Ohzy3W5dHtmMSq+boctd/Xta3s78KDkV5EhyEOJPrl6zYacZxc8NpzHKW6SXth8IhPe
8li2PPgs4JiA9Nh/eVwW77JAfoUKrZlkmgQ3XVBCL7zLC1ch9ZUT9MyGj/cKrQ1vYXSMpGZ6D7sW
FHzLJkumYOm+B5YPz1lQnW2U0YMHSEz4+C6pRTgV0SxjefKA7sdJyO8gpJPNA6jcffQARHSesNu4
GIvHpAsfJMDGkp+BiAYOPcrsIK0nAKXj+4xUOy9GG0YuENOny8VgioAHcRp+EVIwvjj9oLD5dfrv
31PbJR2AK3POE6eg+ieo5H0I1Wd/8Pfbfru+OBreRDBHXzcRV0cJNvh2a/F0KD5KXloECY9XHPbr
vkQZmufb/fEdlBG+GNbhCFOFGpXUDASu6p44xzebdqCr7v8QrVKP5PPITgB17PfTCAeo0gq3G4G0
7pRN3pSfL1yPEia4dQLMxcHybYtyVtyBNRSC3WihjZM5tyymDw++bOYBmL0NNSw6B+Z7eqOutQJT
iNMKNjQ/OIM/sDAogYdufH50PcpWmf2laxku33cYDzAlvdUBNxg3mHTshTFM3/DzHHcc06VtOOUI
4kY79YA6l8/Pot+XNuQXN/RD8d/k6zvfvv0arr6f/HbJH+d/+8X7+bw/fuVMjxFGzsIcIwVWj/tg
p0eMX8KIpQg/1n0gza5TisjbDgshnxUWhyd3Vx/R/G+wi02F3+OybXz5MP12GUalN8GVFLn04sJ+
z9P4uvDrlvJB3JLmy/Q82jFMCRcvQY+UlfjDgjwY881Ab8yPb1d8YAP6OgLnBOWRAPqtQE+JQye8
gnde4uRtx4Vfh+/34r7PI21Iyd4XRzc5HI+MD4OQIAfyQTwlohzFs5Nm90G0+XpK4tYBZ2Ev5aGb
iwDr20joub899r/f82V7H4gn2O/Fhdyoin15o82MQHm9uNf9oV9gK5xZnouxTt644lesxPPCv+6H
1Qsi6MnSeQ6oLvB+Sea81ZgEebP0iMijhXDJ4MJsyRXWD3ghjqQLu+LdytW9fhAteLtSntkXU20s
NNoWb+bHMXjJ31B4r7WxMRbGKGx2szagzSxCNnl38iQJEG/cnTQrsVeXxwpPIz2aAW2SMaa6xY6/
4cV17/ypAlKj3ClP2pUPICY5/pSHd2WiaF2cSlPIoE+P3p2+lIz2Pb6mm4GryN658qK4U8S5xC/G
nHw1PNt3N5HhaJofnFLZKmiuDMFM9jJqLwxvWH9SnJ8lAdAP/GnVIT2yzycosR1HJZTSczEGm5/3
rsmEzETRu/iBFdnVIjFinjvXoqKgCySaAHzS4ENBhLiH6wuGiKsvDLBbN7/7tN+//V93rpZ5l3HJ
NEdPjoG89QsGa5SMtVe+Pj7LV/v9b/9H7/Y7nltg7RJvudkd9jv/dBRNX1fsGXHCB5vuNct+YNru
fUxV8zJbRXMmY3rhrrmjP85BWHCtuAtxZHnVJK52ZhPkcmg8CmffLgLUwABsXa97voylGGtOzmLt
X7J5+H/rU/w7bTHoASCXIReRzf0/Ffq4n2+H7IbS+fPyF9uMXw7zwzbjp13GT60JoXRHSskWR9XV
X7YZ4I/1H4Hx33sTyNnBIluqrqiKDFvsN1rlaDr/YodPqYDaA2pPhXbNzzt8XpRbJ/fdiV0G5LkG
BF3hDZLrk2l6fBWYJG+g6hKQdRnprq4WSu82YAHjrQBspwC4s6HU8l5dPdQAXtaIPu8cRYzKCrcZ
GgDyZDh54PI6sHn5Rs9ldhb1PEV2LRlO0GjLAyHKJNKUgwpfcmS+KyAArSF4CC235meM397N5nNw
JSAPybYpmYOWlHGn9Z2UTq4HYPwcbW+RysPNBo8+FoSIaU/n15OJxW3REFGfeE2x+qBJp84J1JUW
KISSA+1xz9wkW3AVzYGGbhMHObXeaUcLxkY/ZL3G0mtNDvcF1ec98zRl3NIutoubp9KbgEBRnmi1
+LYoXJKihfBJx/NzNOh48tnGX/OAvxuY0iq+EoTV3kYIuyXgEeMyol2qpYQQC1XUc2LsnRzhHylX
AYPvpB4+iuz5FGFHqjbdsxpmm0cS6huiuhD5TJJTmDoiLD4oNka3UnBfOh47JGGfk83Bo12c04H8
eDxvT3U2fKCaTCPszGd9qkc6G4PVuULheC+VkQ7do6dOUTvHiDavjhbWpH9fSofEgPARJ7u2pP0i
q5a3de7yQrHYwTjr5CId/yWDz7/RsCIy50zCiBTkJ/9cfIOLs327/Lli+MsBvg8osMI0lIPIb0Tf
krLA95IhyXOABdETKvAAfxlQCKSjZEh4naZTUvypboGikIIiNHPoX/pv1S0oQ/7VgEI5BaguREJH
PL4fS4bXFiudfa5OI/2kDG2n9eK23VzlbqSfUSTHtFjuWekpESw94/2eOjH9tUdYXfxLL+rzUDYq
w5nda2QpTjls2FV0xulVDEQS/beoHfULbVZBa/k0JvHk81NCvecCsVFCM4gc35yjZwO+8oSvw4WR
c/eaK51TChHsvKWtkfv9JRvqD/hNS3VZxG4+uABGcSU2MEAyzF18wrqAx1ANtElOIUB8v3N/FDyc
9MU0NqbgzXY4g5vJzQhvzeRiAOkjCHLsvBdQQPMR6pT+WdOfH/3npWcvdgnusdeQLkTTStRM+HIo
tOACLFxIvA1bqUm6wDGObR18yaqrx/yU1KnERTZqwZathWQPUwTPiFlGefFkqk9y71rQWo4lNlou
yR6LsiELlBTLIM7nNU7oAhK3OZHlmXrZGAcVJ1B/IZwoASDGcmSgAxFYqBjcdxgBHyhnciLFUlzm
beSZ2fSBd/RK4l81rKR1qz7bcImSwfkZKFJZeTh4yzoa1TLuzhEsIXBJmRRW6dAhyxUCI3XVUPK6
8UmbRtDftLu5bh5ztmUFmHRMjDLVVJZhmjCYS7Ok8DJcSRKTBs/G7HYyLZxRTl03Bi4xZHXLLe+8
PfBl7o327TqSHosHyCGsOkdznz3R+EnXjGpOGweKM79t+2StgxbLY3ouLQvJe5ZNz/3uTnEX7yKq
HFa9JVeOcNKWfnoZPy4zOQ6leZvQEptUyQfe8VofE55LuxHUf+J3xqx65LB2Jwhabf5YLUhZMhX9
80yad37DvlyzV1AYcQIEbMebmA29OTM0yBDpSIZoZQzMu+ol+NmVoA2lgB/20rJczXilvOJCTKLG
fR1yV/g004FSIhI4K1wC93l2nckvAKpEf1QdsAFGd6+E5aKp3qsAZt8pGUZE2lFasVdaRRHQwmP1
AN0+aGZ9NgNshti+3SW0OJmUlUUhjx4jLAr09OaQNHfqq4NolwU7YWN708IMunYOCi4GAUBWx6kM
ts043GXk6M5zdnCeuxVLcyZOUgLKI/NibrHCJg0BedvcYnGLzx+E0DWwVtJ5o/QLZm/wDMdIXxMM
wIUIfKcigbCwwrhhl+hW1EUMG6lO7HGlBqbmsa9YKfPepx6JSKsE+NEyRyIqAmbCXh1nBZU7/hBf
EIN+AZ2hw5zgH1kZbKl6Dc8D3p8yVHfEPRQ1L6aHHTze3NEdo6ECqreSUCXfyx3d6ZKFCu1BIpiR
oOHxqCGzzcAOb8FFDEt0rngExuMX46UJL8P7e2KwRWBUyYmrRYv1csdj4Mmgoks76Cct8OiILcHX
YERXwL/MYtbwyBsuz2zlqT2dIeyseIVKZ9NlH8mbNEvPoageNqKQh28NLjEpYYtyJodYWsg0fDff
oQ0T1ZKEl1dWHn6YYZLfqDv40YtsY+66z+i92uB3CKkOucUbe4gS9e6tmDb3gco2Pn15GJsY7dwr
waDjnMhkdn9fNy15jwHTAjEeqKHZL8V6yHotSDG8TS6XoKXa27jtzDZGqjm0d9kgDZRPOpDVMF8V
RBygl9ikr/KO2qeVDtNPUZi8fKL0Hck7ngFl5jTArQ4UJHe/wCBkFNC+fJx9wmMul+U9fWmxneVr
UEb+mBiFMB2fFm3VQ5QQUPMEuvmZkrUF7TyGen4V+HOzUrz/inEuvlgNAhEbSbVrfuhRmChBGWpr
JAL2xxBJGZk6BnoDevC+5cH2GdI4Homkb0Adfu3udtP+wwqSd5HfbHOVFt8MNBs2pnl45pwcpo4Q
MhIbTY0TyDcpPcNPENnD64z4bj/zBDObxpSf49m8hhjw3Hp0R17R+vvec1yWfr5QxbDC83kbUAkn
jsY/zwEewoscEooIq0ugD3EYUUfVh/exPRMF4tpn6KLued2d38UN+VwOaeYSbuNuJ5bLKpibTFjh
0dmeP2/uLtMetAfuEwsPFxvuBCQBoQyZT4vdjzzDZzB2t1d0HTIkJMfdM0O6R8sXeZBH6JucTRvb
5/ENWORuIEdgmKb4PGvcj3oQb+9j/iG3d7WN+YpAsRp3aMGxuZAR4dOvhy9QhBdvQlQc/yxafxDu
PTsAVodaSR4idcfxr87MgNItL0MRGL7FP20Z++KfPlFmwq+oBeWccR0fvTyYV3jgVSQApvsGlmTq
QNIaCrTLjr8VYZ/FNF030w4rPPqFwX3EPBLxgrxctvYGrA6KhsXlrRvnMImigQlXZber/zXb53+n
FazQb+NN0Q28fqzy/nHvbfp2SE63P8v1EM79dITvS1hWh1hOTPtbo+ynPTH7Wha4tN/+1pX7sfWm
OqyKVUIkRCrzT0tYYtI0GccOWFwsM7+zJ9Z1sef9bvH+Qz5uqCpNPhmro+jK/7iEdc5JjKAZ78tN
9U8N6wikPVE7tg6QTaDokZzL59ZyoqXtzJ079JGL+Mgpw9P2wsohiAhYzlTZN5V+eLVzclv8vnAW
Sf6kCkpQG5I9MrNu2e5iEzbAZJONZf3kV/Git5GXkM1rhJ2Ntjyyp1WUzXqhNDuv8gW0idQtwM1e
p47k6894I3zTu4KWUujDNcPz+EwmQGB7p/n9CDZOsDSbY2cPTx3IHNV6q2IWTtXQnLUDu347Xz9J
iYnXvTfQdcR+6MxtsIHdALwvi8gWKR5Qz4zVFvSI3gPJea3XNLAuiY9JmU4RzR+AN802WUa43NbJ
B8FsfTQ/nzzjviucO0Tq61ArbpOox/UikoOpFiZwS6Ll6XZk7Lp4RjpVihkLqIAlfBL5kqcIVDBK
esD8AzDaJCZpC7tmxz5krflAiI5AbVgcsbo/UREzR9h8tGOzd167MRvoFLXcJHlju0/FGIrRAS0e
yvQpPDBKffLX92bQDKaRGWrRjqBdXSMDB4EXIu7iWd9SuvDUFyoYMj7TdGjNBYLI8qxXIRCjG3X3
9I8W0ZBXHHKGZoW9dSBTnMaFeLpylfPs6mTj222EozK94CZkzmFhXD/e22jSt0/QjaenWb7j4ov9
BNKAGqyxJGhIU867whrVbqRMq0FE25AKM3etgaw6TS/RUh+ZEUxh1/GsoL9NEc3dX4ifAwdn1f1I
YofTk/KDyLGAQZsRMXdG9ZYMstNSONIfmJ1KUBmSZ9jQkUIJ+Ml1314nD8uzWazB2JyKMsUD2Uba
zNswWirG7FFu6pBV/k563AbqbXNr99Am4/eKWfCMjgjjU3dyXPOpBcpIPWFbLotxM5Tem+dq1m7E
PEWc5b6JEj9SU7/n5/Xy3heQZGZ284LKHvfpTWM/mAfJhraLfmCVz0+6H7bjUt+NibP7NJnsQZgU
aPVVETNV97qf8qmET+g4m5c8/zipfssVpob6VGKamlOPzrdwRzDtqfRiC5mp/IopacQ+Is0mRfQG
HQj91+jlceRciZmoEHqqlqmbbgPvNDZlheiHnyF9DtsYoRr+hBiN36eqP3fPp9o756PcnFO0pQ/C
y2GE12ZyNcKiYX8wILxKR7y1sdMXOuodG8hsQaTFq/hO5UZliyklYWruUJxFdAHE/WQD51NZ3hdY
591O7FJzuFq3eKHCSApkP19fYIjl7mPRrxo2wlH/FSFxZ3tcs02mwNaKXbMtWbOuKQdtVA/ZbtXJ
RpFoIxAsfj88XqyP/0PemSQ5jnXZeSsyzWFG9MRAGqAlwJ5OOp0+gZHeACA6oie5o5prB7UxfYjM
soxs/iqlWVWZpLKIzIjwhs4O77177znfaVBhtuUBUfQ5Ls5asgfo81+9m6OMGi3NQCqi6sq/qkN5
aYXFP/9TWZzrP/eI/3grv+2H9HoRfyHamvwJecJWiQYFA5dOs3fspvy2H2riKHmnhyzh0xoFLL/1
iLFYTWgRq4b6Q93+t/bD6e99+L/sh+yEuiKLPAUA83+/H9YPhZ0yKzlhc3yn6uJsheA3G/8OmHjq
QTtnDq6PckXptuFzn9LOWCBBidv1fTkGi8Lze5LMOX2R/LxdDx7Wow1XTxfArVak7RS1hlqeYkCf
NXMQ9hBNMN9GFG2OmBFmySuo3ZEkjuJ4AmW9Ok++k12LsJTKAL0x0MU+du4IPfg6tp8k2uLgVB1w
1QYtaYLLz3DVn+AtFTPU30KvKr+mFCLHobloGjNT3I4ffF/IZqKPWWF2fqHMPiLlLS/6jQNwrzs1
lu6TsQ8tHPYsSifs18uYLrknqlauzTFs32xlWfQz2ZWRrcyF1O0cuNbKlvib8uHUpELX/oM7ZzI+
lc7G001mzSpflsvd1R1d/3vRXL8DuUMngmgf2U3sLyttJNw334QbMazvljTV8cNYbP3xIkE3Z+97
6fxMt/p9AREFgWjK8mHTMRwjoYJsbeTLeF2McaKzhm5T5dxSS2IJVdi9mI890hUAApnvIzDJLJjN
MZnmN1rSx5GPhNv35uGVGHsCQoD4hiRAk31MvmAmFS/iNLgBsgKdcg2tTfWRbhWe1cuYXSR9doc7
YPadptgCMIF2I0izvKHmmEDAoRUoLqJJZBE9YKoI4cBuh6dw1Dp8hbYRyfYVNUEUgFOHSP3YVcbV
0WX2tqWogIO32S44JMB0nFDe2tNFd4oAM5TnSLOE1QPYXJ4by2Qn0bSTplZ+XWVloO7q6T7h+OB0
23x7tbHKab0dGmZ920QClFv5tfPzTzYTnp5JbeuYJiok2qdRsVdN5p38dc2z2WDT+HTELqTWwHuV
G8ASGTEkktsjYT/cj6ivd7f8pT7TjkI/rXMfGuV7VFDXMH/iHSJwPjP++0GQAND6KgcZ3l5IbWUw
0Yw4XDpbD0T0H/B1pYh+nKmw30Xoup+3jXpbIWm+ySdEyU0BUCKEkgD4LRhvPXs64A3CyQa5N1+F
BDq9radQ3Na0PrbGST9lFlLFVX316gdo9E3y3F0HGPTDYeqNVDzyWWmNcFqY3956m2t8SuLfh7J6
XK3kaesvAPwMm3EIwuYI95yyqo5Jt0myN5UwWxtpMZ62uw0xY7LlKbx3Jz76KGYIy++etmshdrr3
fn/VF/GX9hY9d4a0RVDOVDjLn6aRXiSxtG4oX67W9MYpxpXbKdGAryq2bEY5+JZl+ajFLvInWjQP
1SuWmbqBEIslrh8JZVxljpS9dfObgCyUs7UzsdIVtspAujTzEkVorS9S9V3pP6Nac7EB5vo25hJA
YY68m/PpxE9f8hfGtiqz6AkQu9t7Kx8V8fz398j/s1nqX6up/29MimWMwPxhOlH+LUaY9c//C5PX
uFV2H38efPzhZn7bJbVRrWmMRuFfiryfBh/aj2RB/dfKkILyt11SMfBeTVBF6wp7ovLzLqlADGPy
wSBFVnF6/Z1dUhvj+34rGn+N95OhRsCLEMnS/sMmKVdhb0hRjk8JDz+GKBrizxtsQbztqFC40sFk
Po/qKbrbabR9Z2OTnmvSJX5EhBQ16ZcbJUhXUiCsmcphagHBTxmRFX5YLK6NNVAU6casbtwd9OxJ
uMb4UcRLuZxjsYCQ2wApVJ2Vc1aA/6lODEoR9Dzmou/rTEN/BFLeb6i72NHKzr3S5twhpsOG9QsK
hMzJ6Kvc/PKI/1vR5T8iGpv/8d/JTf+rZ4LiHm+dymR9pBb9XD7X97TR+yRN/FsLGn9KWrZOJDOl
dDbLEHJJEMfS492FwBPpc1zFN7weUxvXGHu0zDqv8jdBuqjZ02QyJOONNgxioCwldLTWvhb+A7RU
bD/Kwz3dkhCSkz7thLWrbSV+sd1uJRzZ+arYi67wMfkepx3fpCgN31f/5k+sfcxsw9eb7QNPzPQd
YQ2hIB5eNflDAvDOSMFAbOcYa+5IvC/4Dt18ui4F7ibZkeSCXkn44eHmEEQICcItOPkpXV2myx69
82BwapZU1Douj/qK0XoPfY2IQQVcrejyNBi4Vt7SVS1x+zGsGnzPZpnO3jJfhbb/qkFAN1s0skG2
rzFXm91ZGKdTVKaFMw36Begs5VsJFPp++/Ks46RDcjMaqqXg7SoBoe75L04X3MzjexA2N8nk0yNz
iPH1NjkjuzSwGK8VL94g4sxFjxfNniJKF5yO7e7WzEPk6nigqS03yUFDxy7rmLn466Zmym84beEb
u+hL37VgnPt5O5dOoU1wBGWzcnWGMQeDYAYk+nHMBPBqEeSnvNdzAnMjpl+qMqsvrfZEbbytotku
7jY5Qa6MeiLUMs/WUpcZ9MdoSUaEsBQOPT18bF60WqkiGyrIURfV9mD1RJ9Do1qtBmRIQ+wNvv5E
U8pcL8Y7Ay9O0QFmXDI+0PJfVJ8kfSfHb4m0wfwbN69KnJvhmwZQUwDpCQIU+me5r1rKRvNev4Z0
zzfF9E1tRup040uSDXKUmIjnuV5Vnyosk+mnXn9ViDijDaBcbM31awTmiOmczLFWPCnpUsdukCjk
iVjAz2CVwLU4XJdtsQjjybK5vsXhLKUrjsCZLbgD92S+qfSJpWX41VntqXWhqUqlI+/7E+BaV6PF
E9Hi9ye19VPf7q8uXpbDP61iMpYTgzXc0DT5D6vYgwU4T2NaX1yXYxAEWZhm6tWXDKpKSmrkfEov
/d59X6e4MUkwYNb6tEM26RRlZvQVfamB0vEZFcE2mZd0caJToqy70bUBqEvCxSEl63/jTou/nzn/
2rDTVJkgPJn+4I8V6SeDbZ8LQ0e2fOLfmUYw76sHOtLaNl5ICh1nSVgwF7gG17g4PsLdQFS0PkHH
+p+98kTnPy07pUdvjcUJEeU38o0YAgzvA5uFJ1qh1d0I6+XN770UoIJZqw6/tUAFoQ7wPLHeKWzw
qtMezC2X2Whst4t32eXzZG1cN8Pr+Gf3ii1zXKAMJ6RlpK1UcCr3TbyYLpF663T7Ce0wvPyV+/Cm
m+AgOfwGLEbh1rBtjYO/yTJz85MdKxEYCmLvSAOppjaEmQW5Rc2ZWmJciYQ1a8cIB4M9ZcNVe7rV
q/ZwesIWQqcs5yxAfLogPYFBCBwFXiAG82f6eU/QAj9gkf/R69Dze/qBT9qJYOWQllPP2yNBQed/
79UorZGFC8sCGTiAMQhzvewqP/jeH0Q0CQU9UqDGzf6+MkLDnxJTuyuS5aFvwmVCgK3TsUh0fpfk
8MsZSL6mGzh2WnsIadlpxUyZniLaeNXxQUtvTD8sks0jBnlhM4KHl0T77wlMh/kmLUGN1mA5MxbP
TX9iWnkvFuPiAQhJDWey/69fh6OI5KfF49fLUMeYxglNJovyD8yo/8QjELUPKcum6P87noDGE/dv
R6Dmh+ruo7w96iSK2z/883/+/3a0n4iKNsLAaP6MjaZ/PAtaftUfJCRCc5iVH/FXdo6YXJ+ThmjK
r67/ixnRH275t9O+CsaXftsEXsIoJ/pZ5gSbAQQwgIlfEhV/Pu2DbADbRrPqXzJZf+qJjZGrFALK
VIML9LdmRCgt/2qnnKDaBA8B2EGa/iHOe5L1RX6fAqfUuyBrbJZFTmjRDPTYRSHLLdv0SAwU2lfN
UhfWE4Tl6PRk7I8RiBqcMK28eMJPSAk7/OiWVxIJapf/N+p8WjAbGMD+6nQIIN/0sNJMFg6AJi7U
IBoXiYMSk3wQ0+BCfi/WY85Dw1A63ULHbXbNPWJ+S/7alRA5FRv0O80uUlIMWnOKiNh9Rm8sHA5P
3MuMTCexhRBm4sVkN7Uw7nVr/A3/CDHCyGll6vKFtYEs8ofpee46X1Wm6+5yy3Mc+gxMYfkgiXHs
UdxiIZy7bqcFtWTzU0iUreTTkAXGh4GTmzKolE8PxJic+ekT8O+II3VD66I8j/cOzQp9fWkU7CAQ
gC4ztWhCRDv5Po8lVDHgIsnX82Xko04TU2hZ2B5G1aIFOUwGWCk/YJjjHp9+TH3pHmj+16ieYTgT
gICyC/fpQnBwOOC7JDwxOx8P9w9gBgIj+xy8GDA3zvPjOH5M4xr4ypE3ChWGZ2O5xypukRhkGbCc
EevwtBxTjvT6dLDe7/aXAEPgyYRMoYWGQ391O2s07Z4DGSMj7WDjiFb4MQXyQ3eS6q7luGjmSIeY
eQFAnpfn0COxby5Y+3d8KceQ3gsn/eBd32V76XtyW9F43MslOYw2Ob3TscyBSSWQ0gO+lxk9vaQx
T278K2WDfEqfDs8yT3efLn40SGnX8u0JqYp0TqmQRrhVuxiY4Rkfwof0LXzob2MgGDBTuFiEi/Ee
bG1UAN+cS8hMrwkzwLBF/l6azvCqjfqh14sfYR8g0gP1BEYiDHKXB8+fYb4P3DjxkfRLYS4gY8KY
K8CIuzNS4lmqq61UbmjBcpzEbiYTz0fIiPV8qxcKNdRIIUl5cjh58HLyk+FrjQq9MfYDkRL1Iv3J
CuEYlpvnOoSolJhPEjBzBq9eSpgXb837nDdQnNMC4vGCc9XClczMrnmizOXPQnkteg+B3fWk4l7Y
Fcdb7z3xwRG7Btbjbk8ns0pz78D/SVyjpnBFWtxXsM6mduPR+ohk5tmpWWmBYrX+ODvkOjbFUze+
mxj5mK+ExQNzfcwZ48n4/3ey2+EVoCYkDcnR34Q33lgW9VTIhT3B3AMVNfLhYN8fXwN2GpjeLQkd
SyqZwuVffaCYm/vhuU2/+pm0H1I3m6f0Z69u/XIVx7T5Znnlfesxh+IdT9bovFg30FhzolHaF3Fe
LidfJb3mxpIc4SJMzYFbtitAWh3tBHqhtjofQ1RInV83S+MYMZNzcicNumUerCt6wMETlaBk6SRE
cSu9DwXQjuaP9+sHImPn/iLu2xe6rYt0ntnluz4b/xTnfDujc3qTuC9r21XOVSA4e9mmwx7cE0dd
TBOSklInDwaPNwvMlAvhi87TvFScURF/8ticajfsYhd2ra+77YYWBh+m5Cb9rthUq2h+3wNX5wLv
VszbrieBGJdZsde+mxWYqFnr5zuymmYyKXi8I2m2kI/HBZFAC5ZR4IwZeYpDmB+CM0JTHwRfN6vr
qdhMOUav+v1wlqzwu1o9zlz9ZhSkjjh3n0AJr6WdHYmF9fHh4jo5NMW4QEiJV7MoPYiyoIRKlmpt
JeAOJbROCIsi78HJDRxiotiJSAALkJ+JI93e9RtzUOsBnSQSwF3WAHM/gNuMkMUJjdF+tKNLS0hv
rIBJskl5TLQjBsGPyyAiKKE4TaQFljLR652qC647GS3MB63lbkFbmV7yEzywaikcPmecAzOscZor
yHtlYY2wjVODWRcQmuoPyvIGcyxd1lT1jASgqq+Sm6lwDd5MhAxBV9rVEeoWWUYYb2nCZtZ0nXZB
LtmK2xK1AFuHsSPdVjH8krlk0uU9Xj4uAtwLdXXN5mHtDc3WCL40YhhHmaUC7CJIPSRYu6E71ZdC
45kj1FOXeFMIVCVUzfGSKJh42SYIOWnnYq0hcfgNoMUmm7B4eyIKJsYM3p0Xhou0IjsYsAezX3RQ
XyJ2TURhzVZ8OUQkJbUeioVZvI3cCnVktw4bcw5ymE48D1je3p70BNTC4xlbMnHAFAYxeU3qluFb
5ylv6eQj9MGOdLeTsJSp7rsvZmAF1qzCuyFIIsYzFdYBkSMqYk92hwC4DOGx8W3qTBRhRqBcWrr1
ZfoJrZmU2mIApo4WIrvsokoh1+rShNPZ1xDuNKh9hCIQco5yEMiHsGx8zdgWtPG9yfzliuFN9Ekt
0dIFuLhs2UZ+/fW4+bnEUrO9vk95IJFVzab5Ml3HQerWh/5L4gpL15OJOcy0++KRbjvp/JKj/MSr
vCDqhJcWL0K7ZICO/nDycfu+c1SgqilX/EXIbDI6YCF96Fdb2HSNlZ9CxoGhX8E5JI/ukVnKOl2m
B6XaJlcP5AupWi88/1iz1aCA1PME2AO3R0hWI2A0mYf6/sen0dOgoSDkx+wFaAlIaYEdd7Nubtjf
hi/42VeIKLPcZdPFFHAQhU3h4ZqekfQx01YyJeb3A84Qg+4Jwk5ZBDqK/HCO9JVrIecIkKGE2JCA
hiuZ5imTzLGPM0MxRowMhWm9vZm8XPfsSBdIi0hRPPFFGbQ4tMHikg5rytLDcYeO2mpYEDsjuZLb
7A3meoucH4NOANQSsIg2XBToTmtadtB/FuHgKoX5gNBEltNsSvhcBiB7uJRoLDzILeq2X4GN3NfL
KdMPB5FAz2jnjKj1QQNlriyekau/Xucxo8x9yHa7gtud/Mg3rfjE+Cm+9mpC95uVPAZnshgzJRV3
FNPBiKIpHNu95KXPFy6JWPSH8FAhreM8UVkw94qpzTQoQaBskTSzf6gkZnr3JwxFwifTT0L5eBPL
m+SVVpX+Wgt++bCrCx2raQ9fUULeyNpG72W04PdgI8Vwpn7eE28UAIogN1b5ha7BqnQngGlaqloy
Z+epMI8P01WBxcXYT3r3xvgnQyOZbnqgPL37kitnlKkTYuFsxBlZtkrt2cgESO0avq1uw/syFldr
ACZu7H4qXv6iISb+fvb9S1v/52P+H5rZfTu01c3gmK+y5UlWc44qNz8MRsB8jzPKL/kFv6scf26e
4zf7qYL+808bP/9TIytNMimqUyOm+vfpDof0eYKuIR6o5oX5j2F2/z9F6oFgM055CDUQZQqyf1ym
jrOnc1d//VVawh9u5LeKVIMjSK2nT6UfdefPFSlWF4SSGH7+rNIgwkDHW/erSIM69reKFPmjpBvS
hC8Z5ZB/Z/4E1Pd3751/6b6MnEHdwMYj/eGdml1ryWiNYlQtImkHvaUs1dbCNtdH9rOfS+9tMhw4
su+Et16jEHnS+A7ySWjjSiicax6tLtdmqfS7p692gt9uJq/VjhGJ3joctEXto0/3goid7TuMZj3Z
bwIE3ZHdFqHUKpeZWLj48QgXfqXRPnFElMDafigxTAMKR+QkBmI/H+K9MAXqKblhc5EQvvmGZzz1
WYeQAqUEIPzwnVyDbAHjIHWB5bceWubUhRI4kBRGpTP2EUkg+SUPSlNHDgWVLrOhnrR0+4q0ghu5
/wuf4v6GEZHWJuVG59SMet7Etzq2K+EorJE6IK1QP4CUn+UzVQLexB+0v/GLQrekCK0nGyoM+qzg
KvpwXcJvy3FRUCuciVCPWQ64zXiD60Z6cIoM7eqVjDzKr5isvDahKdqls3EYM94LtIYdjFL3uQkb
ZH5bhNUx66TO9ko3FEEjPx3wogQEF/k2tDub7xL1WVbboaeuRXWHlSmSvOLpCkKgfY8la8WZVHbj
z8IvTembmVM0WcefEt0CIgkwWeC7nN1EYIELDUWo6HbyltoX/QBDLGob1ZGutflk68NvRM92rtP9
beCPDCatW//BBIBGc4cejnewF6oTWwlX/Ea5cw0P1wLe0u00tfl5ZNKTMN/Qh25wZ9/WUAXzu11S
qtlZ72F5aXgS8XO2FFD413cqpfRWXEjnbpVTIlRBOf7aFm6xlo/qJTO2GW0NBvPNcuxu8MqZKOb4
pRCRXR7lDZs6Q3/IaBeC3WxxoVhTbUFgOSJIDkgNNGGMH2E92BKIQMPWV5OrqUJu2pd8/LaHDr3N
NpOTsuk5UpV373YM9wb1eziZR8VZ2RTUqjUWgUx0FL8ivR6d6SpcTKE4mxOOwZ/S53AKNUcj7fvJ
lo5EyOJEbVWp26S83hzurR61yZ1B3MtkLa3FbfPWfRjX4P5armtC4AkkmU7XDIqet6/7q3C45l8M
0YDFSP4Nis+json/VfY1V5Mv5zMEwxoWKZPfeKhapAmCOWzyN0mbRfWsEl+VF/1dJ+DvqUxNjcAI
i8ih7GHp+SamCBa945GmrXMUVbNriQ6ZIKfPCYEEbPEyyuRJfi0396DHutPYPT1k4u6oNSjuOMzY
KJ0J4TaNFeLVi0ZN8anviFIlee+eOXAoZLjapd2ryztxjlNiHgdLJQ7yPqcEioECTwZEkgAzSK6F
qqGXvEqKsqxaYdvQ1sHllRLLro70fPnxTtJc0xEdB7ZhhYgzFe2mfbsFQv0pSee2X96IqlSIrMSt
7aqCmZKeW6jAwuAlaNW24gyuNrtVHzwDBf3VizR52rSvIl8a6JYscX5NPrIb2qXvK5F0llzMJ7xc
5FnxxFqyp+j4mt5SwKXucYRCsNaEt+2g0m1/ucexV+LeIcf29p2JvK1p3RRgfTa9vpFmLe6nlzRz
u8ncoN9EODX9CZ+J2J0YdJ1CfqY2IwR54tZzTVkBMOAyQM/6nPFNLe+E1xoVkXDbwHVwqM0jT4jB
Gpy14hT2y6+kehAhSCE4ck7uopumhMcYO8UeiQIDazoXF8fwz/I2uzZuRDSOutMFWAOCzNVCU6bw
9OpDQDzeY5lAQcqCQrDNjScMUXVdEVicfja15kTg91W8LBpKd0x3jtGCgjpcTflwf3+8VMBo6oP+
8AQMZPQ3lvmG8rXxz3fJMx6U0oth8HlPAt+Gqx3dQdI4iT670csj+5KxMOG9DFbh/k+8ghmU3tkK
KSjwRQZqKxnr1RaEebNJ231PTnw8Vy1NTj97ck2NG80ys7ta4oZpUpfb3Ry2Bnm2wstkxPRwvC2Q
CzXrKeGJZiYfQzyX8200FVbwY+38QXo4Rk6GyXo1M+JoySzDTFcliZ6R4FTt7vl2K9cxnEz6aAgI
GPGjNqRtxg5G50wnvjDo5JP+xqf5Nwsun9OCUbRXX6Ho/uJYbFh5iK0RLX3DAAGtn34/Th8Oxkra
UyaIuxtW88zCVg2y93GzCJRR7k7Uf7XhtzB9hfnYx8TJeE04mD1C9XIPaqpjTbkOaO/LB20vtvXM
VWh9BU96Us/aywPheUFGl74/EE9KdJn0dn3t9zEqSLNHhA5gNl5PS9Lp+0P9NdG/I6r5NN3LvBzZ
IVwZm6xfXvOLQXgDamzRoYq7OzpvHNJpfAh5zwvtWr07Zcv7j2P45Y6c22Ag345/Pt+UMXOoe6mX
jKourXcL+tXAJN2/1pa6H5CJT5GLp9DmEY8XjzMLVfzGNB7jgdscDb+ZPeqXibo0Nt0s6VY/Tnf/
lWcyEgZvVEu8uRl2MKf/x4fdDQOZ+uu7LCCx78r7pazLP6mu/nhrv516dRVFEyQ8+c9zGNReTPlU
4hX/jNYWmcAYyI8Z4hBi87tT72gqmmI21/gC6W9lhEk82N8de3+UTBKpNxPECsyDAPP9vmR6KIku
1xgEfJmCFyYWOb7PYp2Wn2hGVID5hXKRmsTions2QVnMu2bxCJELMUMZYxN/ZEDUx1IPFHIDaSNg
qx0AVn13hvvA4YkCcrLFoZJidbEMcSFUgp1Ok9loMEdhyMjbvoq2vFaxmxjr9FXbikQfpLMEr2pa
fIXPZZGhk3RawQh6LK0BDWwOhG/Sdnhw9c/b6TllxP4u5Guo/73g6hpmm5nSYraOPFBrMDdFY33V
ostU3FZXX0UekHE4AEpz7dbK1nhJoY95nBmj431AqFQdovfn5UmnN7mPmmH/PivpEN+PpIah1fAT
xWyx2Ha3bBWqI22uIgdBMZgQ7TrOSkN7qdpLi3iIDhMbIZhPpieo2AwPQxGG9LpskbTNdUIva2Bm
j3JVsbU1xksBtOeOZ4d0yXl/XSRnzt2Qwcz1ZU3+zpshuEXBXuMUUD3obF7oNWvqMXH68KRrS/Eo
i+T+umiMWc8wwko4alOrbAvT3Rd2xrI/CSJYxdIXBPNgtEZy39kMeYJ4IaOqJNQDLPMmHVd0/tMf
K4xG97eIrEuFeDbUNrnH57WtxtdDp2sx49YcDGyg6+zQbuZz7xfiR3Ku9Rk+aph4d/e2ENbX/Xis
7775wLRNN9XhfrnPDDK504kpUQ9E7mNeQHBGJ1ys4ufm1rxxvzpneDjyNQmYr00e6/zq17Uvysh+
6bO314WERSM6P7rETV+fuKJ4NMJLOKK6j9Vg56/j4avEb/WJsNe+DrDUbm7hgfR7BPwSA/2Ecem5
lD3BLjwMw/QUERbJt/31bmFMV9OXGy2/RA8k5LjhjionX3a9+xhAoqTzB+Ot3lWVVXFbTLZkZEyI
GAVq4IVVTYuScold4t6+pMaKk5Ve7lIo8M0CKYeTLXjteQAytZYYYUcDxfIeg22TAtlNGGJMH+uS
x6iJJ3LIAXeaUgba1WkgLklqQDgZkcC0nUE87eUJXhyrwubLQUpBr6JNaL9ZPS8WX8wPSDvITs6x
VD+M0Fnk+VuabYdZTG4Fz3viJiDv2jUvsZwcZHEerRtH2d65ijre5FQ5Ae3/AGkfUsRtW+yGytPG
16tVNyWGnooWpxwu4Q6qxnqizqVtaTBosrOOQpZGt8QmXX13DGsfH2yqhnTGATfS82NLrBE8eyoy
dbU4E9YhVUdVdLOG87bilP33SFsgFj2iPanDciTMvRoO6PvuL8lxGs7r9xY8xXUlIeM6NPObPfIR
b7TGHt/xXusPueoyJ+Zl4Clo9K2s7riGyXYHVSMx9aLURJ0dhE9ffOM4b6G7xhug60E5bDlFd6lk
E2iFaKufV8O2jL6ksrDjx6LLLlk5KzXJ/cdJ9sIBGJBupYvIB8gzi/w2iBbPrZF5xQO3bWKBXeAl
YRUxR4d0b4LwsW448BOcY68co0FwVR9XjmisjlenU61rDSnDvO8in6JkMNZ5uYa85hYzUXfr3JRe
CBBROLf5EzzbQIFO4YJiTZIx4JmMkD3ElJ8Tct4H0nLU4FbPma7o0gyvW/iJsi572slS8xvZfO6k
TbKUNrdZwYp0d4WvzpXWPFTlRV2WbyUMDMAXFlweGD79zRK3Ex3KXPZd3bkj86MA/Uvnoyrr4nay
1g8huAEsdIJZdssstFKdQYs3TZwY0yMJ2dzJPY5AEdw2Nr/su54lnGHNmoHP8jkX55lL5xtXeM54
F/cJt8Y9Z8LHCP+6LtaZy1vw/bEcVtqrZhVrpkPFmjgE3wA5OhwojMgXGy2eE6ZS6e6SmCXTZ7II
LcNN5gWTuunUYSm/vojQSpvtfQ/v07zaU55IAMsIg/a3GxzO9Y3rr/Wihbxtv1O//Hj2Ng54LkQw
/ISte/0l2XLTF6aiR3lWkeuD+Wwww308AsiWuTi/3iAks1uavF6c5LCr9haFJOhFaXH7xmiID9C/
4o14v5OW4/2IeZzpVssbpYBTCNFom83lVTvPiVoyeXVv8wZJqUWbbvpC4TPCI9BMB4IH/N6azkae
OYOB2jytaBBtMXxTqjHvwKjoYC9Z0lnClgNu7Tv+Ns4RyDm6VKtoGc7yhbKmUN/fjvJSWvcOmlKO
4MDTC2tEyjRmBS4G8RM9643mQ6GZp8upneD05M4tGVVi7Jj1P1IFoFUm6CryIHcyJATtkTAZ4ZzT
CKD9flL212/e+HN66r6wm5LLiEdCQ6fptkfeATusKS22ztznlZA+v7rTffshfOkP/5aPoTtwHzHY
euRGOLrFDJCpVzubLgikiFp7Qr9un+ms7yQPs86ZWEyF83RPkFF69x4b5VPx1V34Od4hPLELmDgc
XiaeJm+eq9uMFLql4m+iiOdknEtGB96ZnuQ/RDwTl2jq3XBiiV+T9WMjbT7q2W0eLZQXsIdg9hHc
bvMFJaOHKbZUXplcRczIW0eRSbcMzXPsXJ3zaqWgs0C+xjFedrIAQVrONEN28OAz4yBTaDtdRxvU
JdC3iLZX1slC3D6whA02LwfASMiE+X5qqkhZN7g3NelVDkBysm+nMwgvdQXVo7HFbfFa+vdXiaSD
B+8JRiYu8H4/yi2ewz5Q3xnjJ4s0dXZcLb66HKCUcUiZyJ+dfTMPOTHaig2So5vr/qNkTjWh/GHy
Cj2S1uPDRqG/H3xtdl9iT3qZzK5OacuWEShuxNnGrhnW0/3qcWsx3kLSsmV0Zp4I4Ku2QHkGyTYC
2Xm89B7hsfKhAqH2HG0w5dxY1G5H837BsYAEl8qhiwAQAYrCiFjI/NKBqDnyGp4byDAz0DvQMuwK
iMLVi9zJrNE8tbObH2wNEpPW+TrbZhA2HrSnoDHEwW2ZLYtluMoOxLzABczd+r1a3977AxFKrgDn
UXKL1B8kk/uwU1yVRKXbjv0t/ez2/Spm3NVxCLGvKzIImb2S/0H4hxAQ5cB2GshBS+dzX/nkDrpi
oIHKLP0nW5/NwCh8a/a3lR7gwKPTZyn6bCjXWrwrshfxa0ASfhiwlD280WLLs4QBnrAQiBBPpNlu
j4wit+kzq4SWQXObxRrCH5ev4i321G3+3vVeBAAIQCWneYv1Qcg9HeZutTXeuRGGziV299OErVaC
arZMGnxZkzeiErPCGzpGaiMwFWW49Mbwqpxn0TZs7Bp6hhRELBwZJqPxR0noh/CFcdhsLC1xp7eA
1ELKXzt2VLNCUW722MwGK0uBuRG1YYmJL7Jv5M6tTVkOnY2Qrxo3abCh5TasugYTpCNeZ+RhMZ9d
3qGiXmMOr2ZGhNbL8GYslXXOeJ6S3AIPbaUevneWWmT185AdcZSn5ovwZXCzM++v6fpIQCJfSzuT
ZQYo/jy0PxY8zB1D9Mtgq8Hgt6tiJ7IrGwAxScD1s12+aa27U7+z9k3cB5dysTphwSIG405fiacX
/s7gwvQ8qqBQ6EXbsXu/MI+diTPSvsjqvFuGV/lPZvtnXoBTZn6M1/uDSwOdm9W91c7mKHtHIr7d
1K8W8WpwPz5IbAOeQivP5yA54mv5ttXhjkKMw6t5kInU4A3AWrxh0+HBG6x8lAjBPRhckoS8Cros
35LwzCATJo1YWzzHXcvLFz3jAYNlEtyvX+G9tDcftwstZ4scdXNiV1ya4GWYqF4js17Vq/6M/c3g
0ffQgmg/bhmdI1BS/NsRrlUxK+ZI3PzYRXbj9hf0PTbPnZ9wx0dCLwheEXaq6jV8mI19/ljH3/CJ
d+NPHB9P6n9s9rsenhkpbeP31SaLymQOicdGeMtTRFALiFa0cTwQYvZ4WbmYuTV9pZwU/5dbEVh/
rqvrihAD89cWWtf4bKIeMgZrwlUHrfXHYxhpJpIdI7rgcn7YgEXh7ZZ+sWqgnsAg5qD/8M/sSiyT
48oKEwlBAs7EHtyN5Cv+lKwbbYRYgVhwANZQEMKKmqVLw+H0xrv2A/+E6qnQEhQXGMIc5Zh1aL3C
iuxvVOmzYfZ9OJ8K88gzvQLFEui8lzCpbrgQaRByYoJlND7M0L3NHhtd29LnMrPL1K7sEaNj3M0G
MKO2KGbhrHzTlwZHPu1TYQ9m1/bLJRXqLF6XXnN4muOeO55Emh/ydMYydmPuE+5mzdmCED+ILuM7
BofgvJhzwmDDi7xxi1Odzh3ZuwQ/29UmbB3Be/IidG4FYFf2/jd7Z7LcNpal4Vdx1KZXiMA8LKoi
EiMnURQlUbY2DEqkSJAAAWLggFU9Qe9726vO5/Cb9JP0dyW1NaQspV2RttXR6UynLNEk7nTuGf7z
/4cQjiHyqjpXZhnyDEfrUcEtU/JmCBkh3nfn1Zr+boDwQ0QkANqooaqAfxDQ54JjwH+tFX7POT1A
bckOpX52tInIEOAjNIKoy9M/GUNjaE+Ti3U357Rxlrw4Yj+zg8uQ5HrTN5kVu+dwqKtW1R2uaasA
0RZsGQhUjt66xbY7ZctyRIRbIIQvmi5YKIXY+K4Ugq8GdzxkYUglwZoBSOzWjRAsRVmUnK6PlW7c
AV5xJMTE6VzxyA8EiCrhPSlQVLlKV+tSVuksQuMqvqTI0skgIOuYEBkE8N23Vp0NL1yeLk/5qQ3i
VLkoz+NOeaQJ0alA+KTpkGqMxXXk03vsX+keIFQPF92fdzGURCR7l37MFh2j53WIWWNfrtj5u4EV
VJCfCRhrQ1lnF+G1duiEiKAHWQJFAygW6N6+J5qldoGJn02cGQq2IuA+7hWiHgDrjrn2Gctedpdh
KmYR15tlSaPlsYKQ+pzDzm79pLtDOszJOdJH5o4HfMKeOYuP7AFZEWCWJJ95M9IH7sDCeonlFzBa
EhUb0AU2/rjSVSoXsBHN1H4CQE1pwad2JBqxeTAY31OqcJQ4fGAT7BGce2Im8vptsKe9ja/BWryH
knRFLFViVT+BMal9I8pvmkiJ4Dpkd1jsDsEhJdbX1wPFHc4oOkBOqkN1XYcEkNguC8RYgs+c3CRd
cWCrm+WIQI8jJ8wsDchwolUBXj1tDWZbx9LkyG86AZxX/Lz2J8Qq/CK6xWBugz4oFB5qFyqRxt/c
+QoWy4rgU0pG1tFiVHXGYYw6ljAWc5aKGMFV+kKaGVRbC2Yp8K8kZ9hVG+9MWPMzHGsWhrqre1l6
lCT2gu0Neq35rU1tPEz4BdRm3CLiDrB5CvGRi/5i6KCAJG4b6SQfmcd1OGeTYBuwWPoArkWKJcIF
gQ8HkwgXIAa96ViQt7PprwW0l2fyGmo9BbzUvJ5LZA9WixoYtUxhLQ+9si2+k7ZVbrE9sktc/uJY
Ju4scS9wY9102kykCEFPV1SBxDWn4uY5nQmN2hhyy+It0QDDgLpTCTJnNTLI4qEQG3zUAU37XZy7
II/ikCyLXwxNvFQ7NDDr/R7XmYiCxDr18EkgcV9gg85VKD+QbIhynD0qbsW5uQ3jcNdFlDki0vbO
cbKORRi1xaZARcd8meJqNBmu7rLKt9xluB5tSLeF7CgFeWaB2eVBewNBE+NgT6DXjM/nM2p/XBTi
Os/7ZDM8lToMPDI2HiC3O37ywsWxNcO5J3OHVKP9zTawoVSHDBIpvp54fC52lpkJZGL5QJ3aY9W5
uIaSAcOUEXeSxac4CxODDz7POzMHAKgIdTkV9xmD3SfKaWxZcc1Dc8t6gjzygUB1lgFFb5RAqwh1
UFgKou3RuoNmKxNYjcZlsFG5y/cBqyEosam0B5K/c+srCiKRHZTQjVn+CI4gkbkdIakApxjlfhoW
b6nWBJmZ0LGj75D0qH5CBYaSGNOMPgOk3JT966DilSYeed0lk+bAkbaIoBO9TNAJgXTXm8O2d+jm
rFbSWeNpA0iA/M6vj+2WRseOzPbYwj6KcKG3IhCFGv+mudm0NU8JmGz/3HY7F+41Pq4vCO81jr4B
/bvuD7YkOGzfJuSk07WFqAdfU/SFd50dXQD1xcFhyoljSVtzSmSgHT5vzEILwyGsgkOVf30FoQK/
hCEju4rrJJxJSJ88CO6Z7q13PScPW7qXV5tbDo0drVeGS7mOOaGkjN2ds1rL0z2LC6/BTdlWQNbL
oXBkzFDzJnrIN9rnAAI9u2te6BfmVYqVgk5V8eLTcX+JnDisl61FNL+SQiTTA1JogdwfKacZXyK3
AqhXIKLNCGYd8sQrdySWBJICnvuSUnbQwJexY01GRI/it5NTyGxcHGDVPRlRFoeaYCpgm/g5Y5di
ZAHp8QpFGPXq0JL86dq7WVzqcXgA0SK15mF3OibaYovDuYdyjS+o8CL1RPDQlcAJlxyyk5vpCqMF
fyq5fAP1JqMtyOiQ42wfTqSwYhxqJLJrO29qBqM7djzRK+C4H3nAOXVXyByWCDMeS77sdvqTOBQi
6zXukijJLhmNOjTalCHwoyAKFag1csYuObFAh6VR8+DOu3WbYLZbBzkx4NzfQBrJno5iHwPBO4ht
bUHEB5XePGRvRlLvENE7Hm5aUg86El4iDsDBnZ7AwsJ4xJ5Fz6V3mbonJ2KzivdZezv31Gyh6cim
VIhy6Qnmq83ZfKrdiHCp8bC2zDa/CyvaAMWdUCBsY2WRwDgX5w52R0wc8r0FSZoxuhje9dIcHLpO
u1kOUBy6snxDv4AAUr9Y7yiYyJfJJLOoJJL5LmDK3MD9oYTfXtl7mSIB1N2X/qx/vCPiPVHEUkGx
oZJOH91rhT13Es+k6X//8z/Oi5vPv79Q03v6Rg81PRt1XtOw6aPSNENwIjxQSAv1KrgSHGgTFFtU
0x4xKWh0Y8EIr4j2KZUfPUKyiRqgY8sWnVCCiuhbOOn1F6gUHs/B85Jesq43zTZD+Wq+Iy5YkRZF
qZk8uB5uHIR/UEd34ozmdu62eHGZx8XVOMWKwHieQHy+PS5kSOLpJEGbKibE9839SXEKofMK1vQ4
blk4vtTz5iN50cpPtdbhXINnfTkOZVjX62hLvYIuqFuBiPxG46Knr792a/S1C9QwihtgDWA2ciWC
0RYsSUlxC+kfyPbo+BAVMb60SQiUBrI7WenH8aEPdhpKlzloKptYjQqcSl/RDcwjx4vTBU08SQgn
7py0HR8vyvvlR9Kd6rVElW/rnBZ4imANGC+BKcM5hm2XnAjfQ8liD+jlurjJbzJegk7VJXwJ6JLg
1OJyLkalA0cviCwP/oP2uAt41cpgYrA65QAhSWFbM5JypBEHam+b7t3ddNd07SvYN93zQxvH2e5m
mr9bDWNzpOt0XaIvO9iM22aYOq2DBenZ6v+ZUcCN0sZInd4Cm0rz+tdL9UdZva4+DLPD5AVG+Gfv
8nCcDYPDqoAyFcqPGh/wcJxNBZ0Ih1OpKzT0Uzx/OM4GvX4IQugvtUoqHHTbgFRFdF9+U6uk/gxC
fQdMhQ9FGBpENFHDeFqh14EDQB8qLdr4HuLqdEA5Sse7YNXHsytD2tMWg8QIoAGpN57V9Pdar5bb
9E5AJgZ9NWReaN7LtKQh67jdwjO70PuV7qebPUoyHb7Lj53iqNY6u6RlaifLed+UW7HjiYbMDXVI
pIknewrjtM+JX5u+Zre2DS1W3U1fXgf8WUXaq21yREdaSBcOzUJCTPnQJx5zqKF7V/Vw1wdH6BsQ
BCetHHd482mpDqozhQznUDZdBeLJdkFc1k5iP137AGf5UXUWQ09F6tjxJJV+RjcZRxn6z3wyevNO
a6uLVy2oWJVHNIPaNF1QDqBVbgz1SWCqEX9xPbCA54MlpSLneOB6+DeTTtGarppwvqVoHyFDTdfa
vleSsh5osDGqrTmR9I7OiOsNFQW1vcYWQEYx1NadBEQYAYU2UBcDtW5dO55R3pS8imrcfADjOiW0
VURzIqSUTR6l1DHWagvU4Tgk/8b0zeH59jZmq8Kpm/uQRJK4kwFb3RRES/BINoNFNsBuLkf6PCio
ByKFtCfgItmL4QIUVwMKO1M6OqGV2UVeGaCaiNdolrevyfsfyEkzSsS6mv42WJDOPYTSiYxunW5B
Dm8hSt4ykdet60heEnCVrWKEzJEgBM6xnVQhXL0+iD5R+xjxNnoT7XkAufheOXGOGnKNekWVGzLu
ViNR5DSOqK+sx4FT9GTF1S4rrg1kkeqQ0BmW+uVVDkL2RFp3FqMUQenqSJRVIoeMQG+w+Vgq/oFu
287ueovy3dG+aRkRVprMNMgUEe6NL3Sk7MDFeYGsjsaniyM6pXTlHOxAlUGkcLaGcCXbXORLGhFR
6QBEqWpeZsS+Bq8ce9xG0SxZ4DxtojG08iGv1T6lZyl5Aby6LBwfiKAhkPX0wzBH01gaD7NA7Wtt
pFwodw/jcOyVrbSN+b+uSdNd6id42RbhjjFFEzKqZgC90iudNNce7S5Y3oUYek5nnezl20Ab7BbQ
F+BKr87ySdKnJHC265noD4noC4dv50rTTbfunjRLv27RnJVBqkWWCJcXUbzkSJkeWR8Bnu4Zp1q4
9AnBnxaP0UgJbeRSjXbtNgMU/SLB6u1trugUGUBq5G0/inZyTOk3gcD+hKv4C3Y8TKYphiIuqyK+
rmghoG8hhrlh+ve/SYD9+UexdTBWr90r66qYPb1UnvzVh8tE5x6xEAK6RWcp3BgPl4kDFaXuGA/N
9Q+XiXWrmKrCp6VbopXhkW+oOTBsQVMJSeSt2/gtvuEzLspbuBcN9w5MXjIXG00VTy8TZkOOzcWW
Moy1AQfUAF/fGMgVyBlC6Tb9c3ujqS+KJaDuZoxpWNqrmFOpVr2NDgmgBCVYkNsg4NfL5U0p79Hf
MGJ73U+sBl6tBuz7qplKiUU71K7A2ixKHC0HlZ9NASg0ydYYl1UJ+Cq3Un81VkFoUFCQS1TV8l2k
1giVaRR3qiOV9scNNNLHTXmQPUhryI7sUopHh7ECB+0eIS8t3/YOcLkoDcr043E+2eOxU5zikGvK
7srQysJLrfyszgE/1CshIFnGYZrpk2Z52MPGuO1sVvBFb7Pi5LCTDr5jro71Uh3uM8dNReXVgjHe
ysOyST45xvp6B/55bBBV79prC3j/xh4q23XrIMSV1rut6q1S4OiHJqP/eLUJzGKFesgWEwOR5jo2
L5M0sQJ5TtUskzef8vGWUL5ewA5ZbxYjU96W3lIBs67UOnDYHPiZY4NYMQqJ9GuVLYP5Ek6v1ElH
lZxCq7sn11Ee0paiHGgb0VXwrgrGvlF6h0QFZ7I0geHuaYzYWvFpphdntT0+bbYa1RLbSIHXjCf1
An6/fL3ys0PquPFhVbsWBcJVXpyXu2JYHRTFs23kT1ZgCfSxGshZ8zEp6nPzQI43Vja8Ps4IheeH
JjIBcxEy7KK9YV3G84y0Wr5Fmqah82wp4fHnoFGMPPfQU5o5td1Nd1s06xbY9k2627mrNfIJxr5s
QtuoUl+KYdxa1PqFHuvnjlqppEdtMwP8hsRbVa1rtwSk0+QFPACV2B7pxvJUiMoWZobwnCTTcbuz
yqPdgqJPJheRqcB1ZkgJcKJVRZ5ftWkAISI6CIkREQppa3Iy+Vi6qmRtEabSMneTQqbRtt7u2/Ic
tH+8yWL/L7Gqf0EAfm/4/Uk1CW4N4kk9Kw7DWVkn94Qsgq9lIrq8bn8ez8pvesUXQ/XHt3jTAt89
0P3L+pN09ve/HWXY4M+/Pxjhs0POt5/b9i9G/NGTHx59nmrJQgv60cX3x8e7m4NXnv/NFzz+QNSm
HgctLwytnxXV4sNv6Yz7iXCPCed6uhseknkV4gDr6tH19JWRQWJs0X/5A0f2ZSrvOjRfGNlJ/fn3
q9n10zE9WbI/M64fOagnIoYvjMibrCfTPyxSzd7k6MzjbP32gNQvO+J/fa+/eAs+7IyvLtTTFcrR
gp/dbbkf9Ii3rglnU0NiDapRR9Vxnb6c5RfWofdvn/89mZFchypwKp1O4jWcqNFsPdvGn//rgSnp
7hQl2fUk4Uw9esuvHKLb50DMUlCDq7aBgv3dc/zYafhKa8IL0/BCc0I9XzxdzT8/+ic+7Y8zJPeL
L5Q8bZuUiibjl762+KCeV2zR6feO89dYZZMUkmMiK2ipb1wQpzP4v7ZxkhCyzR7dDu9lZclrOzCK
mc+YjV/Yz/cH+TfGK0053jPGvK2/e9i/xkI/rSO8trFfLkl8qxH7qccY4uIXBYFfWOyXJIHf01gp
MOnQbUN/TWr6jSP826JeV2V8LXmToqKj7N2e5hcux696FV/x2d+H2cIJgYjcJF9DVuMNb2QYC7ej
EDarlAbFJC6IlqRbku8ZjH176ayYpVfJrHyP9lunzEn/oiM7XFdvTMSXFYdAEAfy/V1WJOgQCIaP
gerNWz7ow2CJ4N61M4K2DpQolL/Y6m+N+rf1Mqu/d2l/hQv5uZDQaxfyrT/yB02ib72kfo1Rgywg
u6zLaBC94V+PhKtZTA53cRW8bIKLViJkugZ1Vs3W5W2c+32H+xeZC4qplGhtE/2K12ONYVbOUrIw
MB59GMzIzMyYCCoJ79onNZ7xBr92BO45iaVXGYnf44nA0AuuK0vD5r1l9CALSkSiwZ+VH46LdMad
/r0m8Gd652LI0GzZCmr2xmNw1AveuZ8V2+fZ1vfhuRnPOMhe2933Bn7yhM3sXe7mZ8I/rw3au1MQ
EkmzxyJC73PYT1VyXxv2M6Xd9zlc/FIFIBQ4wfvU5Fejr/vww0sIR973bfUMuvXaGg+SSYV1hoeK
vf0ECfYulxvkmSBAtDSgAY8pGV+w18c1GAXhqXzvxfQreGa3HJGWoduK4ryVBb6zYiLi7s/iufhf
xgxIPuVCkTuMis//ef3d+/6n3tKCqEelCKAA+7sr6X31kPdmH/6PbXlNZvHB0OgmUOnXffPWJM1L
jvt3x94/dZWFoIYIx2R4nO6yhz+yygRrqgLkldqgTtXl9Xm+mJVVKrC179q0YEgdWzFtiovKG7aU
U3VaT+EXZeDfO+afu7c0GMQ4QTQVKG8s7mhWTGvK1u83nAcdTSWNSE60UbxhMm5TG2jq/AsB/M9d
WAebobOPDUDhr5/a3uR08i+UDL/fHXjLjCH3JF5yncwmxT/+BwAA//8=</cx:binary>
              </cx:geoCache>
            </cx:geography>
          </cx:layoutPr>
        </cx:series>
      </cx:plotAreaRegion>
    </cx:plotArea>
    <cx:legend pos="r" align="min" overlay="0"/>
  </cx:chart>
</cx:chartSpace>
</file>

<file path=xl/charts/chartEx2.xml><?xml version="1.0" encoding="utf-8"?>
<cx:chartSpace xmlns:a="http://schemas.openxmlformats.org/drawingml/2006/main" xmlns:r="http://schemas.openxmlformats.org/officeDocument/2006/relationships" xmlns:cx="http://schemas.microsoft.com/office/drawing/2014/chartex">
  <cx:chartData>
    <cx:data id="0">
      <cx:strDim type="entityId">
        <cx:lvl ptCount="33">
          <cx:pt idx="0">5293927752460664833</cx:pt>
          <cx:pt idx="1">5293928192342491139</cx:pt>
          <cx:pt idx="2">5293951599478046721</cx:pt>
          <cx:pt idx="3">5293950800597352449</cx:pt>
          <cx:pt idx="4">5293950806788145153</cx:pt>
          <cx:pt idx="5">5293953081107546113</cx:pt>
          <cx:pt idx="6">5293927382388834305</cx:pt>
          <cx:pt idx="7">5293949338379091969</cx:pt>
          <cx:pt idx="8">5293953144240209921</cx:pt>
          <cx:pt idx="9">5293952808779776001</cx:pt>
          <cx:pt idx="10">5293951900176089089</cx:pt>
          <cx:pt idx="11">5293927712916766721</cx:pt>
          <cx:pt idx="12">5293927654196510721</cx:pt>
          <cx:pt idx="13">5293953213093904388</cx:pt>
          <cx:pt idx="14">5293948341594357761</cx:pt>
          <cx:pt idx="15">5293949681557045249</cx:pt>
          <cx:pt idx="16">5293952870754811905</cx:pt>
          <cx:pt idx="17">5293927036509749249</cx:pt>
          <cx:pt idx="18">5293951640414453761</cx:pt>
          <cx:pt idx="19">5293953942449815553</cx:pt>
          <cx:pt idx="20">5293950146973794306</cx:pt>
          <cx:pt idx="21">5293949508332290049</cx:pt>
          <cx:pt idx="22">5293952843273732097</cx:pt>
          <cx:pt idx="23">5293927195540979713</cx:pt>
          <cx:pt idx="24">5293952979219513350</cx:pt>
          <cx:pt idx="25">5293949265565974529</cx:pt>
          <cx:pt idx="26">5293949940798586884</cx:pt>
          <cx:pt idx="27">5293951227460059137</cx:pt>
          <cx:pt idx="28">5293949699693215745</cx:pt>
          <cx:pt idx="29">5293953279816892417</cx:pt>
          <cx:pt idx="30">5293953317146198018</cx:pt>
          <cx:pt idx="31">5293953341959700483</cx:pt>
          <cx:pt idx="32">5293949906472402945</cx:pt>
        </cx:lvl>
      </cx:strDim>
      <cx:strDim type="cat">
        <cx:f>_xlchart.v6.10</cx:f>
        <cx:nf>_xlchart.v6.8</cx:nf>
      </cx:strDim>
      <cx:numDim type="colorVal">
        <cx:f>_xlchart.v6.11</cx:f>
        <cx:nf>_xlchart.v6.9</cx:nf>
      </cx:numDim>
    </cx:data>
  </cx:chartData>
  <cx:chart>
    <cx:title pos="t" align="ctr" overlay="0">
      <cx:tx>
        <cx:txData>
          <cx:v>Distribution des coûts sociaux du transport collectif ($/personne-année)</cx:v>
        </cx:txData>
      </cx:tx>
      <cx:txPr>
        <a:bodyPr spcFirstLastPara="1" vertOverflow="ellipsis" horzOverflow="overflow" wrap="square" lIns="0" tIns="0" rIns="0" bIns="0" anchor="ctr" anchorCtr="1"/>
        <a:lstStyle/>
        <a:p>
          <a:pPr algn="ctr" rtl="0">
            <a:defRPr/>
          </a:pPr>
          <a:r>
            <a:rPr lang="en-US" sz="1400" b="0" i="0" u="none" strike="noStrike" baseline="0">
              <a:solidFill>
                <a:sysClr val="windowText" lastClr="000000">
                  <a:lumMod val="65000"/>
                  <a:lumOff val="35000"/>
                </a:sysClr>
              </a:solidFill>
              <a:latin typeface="Calibri" panose="020F0502020204030204"/>
            </a:rPr>
            <a:t>Distribution des coûts sociaux du transport collectif ($/personne-année)</a:t>
          </a:r>
        </a:p>
      </cx:txPr>
    </cx:title>
    <cx:plotArea>
      <cx:plotAreaRegion>
        <cx:series layoutId="regionMap" uniqueId="{BDE5CC01-8C7C-5045-AA33-FFA07FBF4903}">
          <cx:dataLabels pos="ctr">
            <cx:visibility seriesName="0" categoryName="0" value="1"/>
          </cx:dataLabels>
          <cx:dataId val="0"/>
          <cx:layoutPr>
            <cx:geography cultureLanguage="en-US" cultureRegion="CA" attribution="Powered by Bing">
              <cx:geoCache provider="{E9337A44-BEBE-4D9F-B70C-5C5E7DAFC167}">
                <cx:binary>5HpHkutI0uZVyt660QURENHW9S88ApIkKJNk5gZGMpnQWmM1d5hLzD3mJnOScVZXd79XXb8Ys9mM
jRHJJFQgEHC4fyL++pj+8siet+anKc+K9i+P6ZdvUddVf/n55/YRPfNb++c8fjRlW351f36U+c/l
11f8eP782dzGuAh/lkWJ/PyIbk33nL7921+xtfBZ8lt3M4su7uZ9/2zmw7Pts679D/f+Ozt/ev7a
zGmunr98y8rHLcNGv/221f385ZsqU4USSkWN6DIRZUrUbz/9/H1rvx3s33Js4hxn2bO5zf/rv/33
4y0uOmET411muLq7NQ/BnLpn0cZl8Z9e4nlru1++CbryZ9XQZEM0ZFlXFezGt5/G5993acQgVKSi
qmuSLtFvPxVl00W/fCMqnqUqsi7hAYqOPW7L/u87ZEUhFE+g2CyV/jGmuzKbw7L4xyj+tv5T0ee7
Eu+k/eWbRsRvP1V/O+4fY6PKhqyLqihpRJEJ7n/cDvjg8HDpT2LVqEIRFbGr9mxWrXjiaedXw56W
27ivrPFLTtxWg6xIWNFshhGKXXeaBkbM1Kms3IyYxgr++tQf5b6KAJcsAumeRFA+BxG6DoZL/NTe
NZUpIcwdJ25wqhOzInYzPg61AEGdQGCPha1eDfybYshOceouoZ36fc3asyDuhM6bIq5clYdmhzeJ
mNJjspoYjIi1rVXMR6nh8SGPNnPO8TuMmWywXjBzDYiXOoLCNG9D8TIym82F0xIEai8DTGuZdW7y
OZ9JBrMZ+nLNRtluM0eJQbEmHraQ7IpT5UrWnIH8Rbx4MbFX9cKCBqQSGpk31A711dA6+J3lDBci
e+VNmwFHlc7YiqxaeGjdWnga7tN0rhVOYzQQLtyYUp6LMC4fzXzB/XjgKJh6ZnXYQ2WNw9GfG2Ej
f1VuKTrEYLG+Egsbl7BfR4tVtW4JRurgzmiX+4aN1/31d9KZ6rVbY2fVa6JG2PkoALlc4TP2pWAb
h/tg5JIlsvqWZpdqABxDPKcPfLwn7AJ9vFotTNxW5CyXsAv1TentLl33Z/xSr+UNb2YU3Yp8KQ2v
3KzZSJZhl8q7JnsxPoP3ZjhLpTdlkGlAGxBLWAgkMVNVq7hrru7rB5LAPLKiA6JcqsKdE25UkHXm
gs+74Thm8jt5r+5P0nFRMdiYcBwDheSQxwqow2emfrT6uqICdKvqMjipXXVQCyofVkp2LTqTZlZC
GEmdfjAX0nA9svBSqbqLhgi04UTiM+kMqEvLSKBpGTXz0MmyqyKVLEjveb6A7mvCZ7Qc4uqtSU7Y
jn6YJ1stHOzU3L+ntiiAmgOuaW6SXZN+11xE4sthY+XCIVn4kjDVr0bJql2psGtqBwqLDmPEowO1
VU/3xMhUvQqiQ34yoF9TP3zmzHgP3g+5xpJt5lM73i2Vj2OXLabR24KNP22Nvin1GYelHiWYeV9g
8ERmnhIwMkvo7mn6FumrCkSrKsxAORcaxPFN+Qo1GcaJwnso7bSexQEGp2vAZPYy6F5ImICxGd/y
ReXUxm0ttTM/GGYmz5eRNzfB7tcV9uOaU5d+BjOPW9ZMXtquqsSu9LV2ICFE5Vrq+CIAGc5V2YNe
f+TZVasEJiWQhd5YLJworqjDHLCx82kF08iW/r00CtC7ihWhIwUhdIMZsEU3K2mVtmyYbHF6vI6V
VoGZd6B0PKC8kFZGb8n1pZvNi9RYi5c3vFwHPXSJi0twNLZlZok15gUeLr6wSclnOIAm8Sh1VFvI
eDObDb54fE0/lH3Ld4LGKzNV8IU2G2INhR8Tk8A0s2TkRsgNCbIMyhJIaIqPYYYiA2Ob3GpMS6AR
06BQnceGk2sBac4G4TW4pUvoW43vV2ROgV+63XlunepW5MfgIQoexkT2EfZXtT+oX5O0IRHXPSmD
ACr8M/DZTGd1jFkRs2lh5WlcRxPW2n4AUTvMQQqKEnIxxtf8tcz4MPtDHsDYbEbtEH4m4jabXvvD
z0izhrPunXumgAKVK1iRrfntal+wwJTvqdXY+VZ0KvYlcIEXLOSZTXnAyg5CxckvxXAadYiwodJq
RtYrxOlBKpgyVTAOAQQNK6cZxPRaDjHM5EPZBePDiEbYi2MC5DDJx7Z/RsplMM5Vwsfeyu/ywTBV
HosQblvpthRsSMzVkkC00WYunD5Dyfy1uP/8N5jxQ0l8lNXcxGH0G874x+q/ncocl7++zvnnxhdQ
+efaJU7j6vkZ335/1A8nYen97cIvfPPDyr+Ane8ByH91538N66gIDySqUl0UiaH8p1hH2Nya+Pkv
cOb3rXwHZyREJpJOqYKI4XdwRlQVomk61YwXZvkOzCiUqgZVFUPViSx/D2eIgUjGIDLiNJlq9P8E
zkgykf4AzygiAidZFlVV0fH+v8czdUSrMU2NyM3cyVKJGQpm5vam7Bn73ixc4dibyQCN4YaiO2RW
jOV4NoPclEcu4guMpylXzR7NZh3s56/rTEqITlG6nrDQr+k21KCSX4tOQbmWgpmcFot4dFtEN2qk
oLtKAkvCE1vd6a40Ar50y6GXzCJZiQlLJdZJK+HT8Ed9L0kWpkHtoKuvkj/xTob4kAWgNlyJD2nq
YiHGAqxOK2q43Vq/RoS1C8OCvjCRDesCX7b+Fg2MXtsbohWxxtXks1S8UHIX1TS86jSbFOi1Omkh
qLtlsvXh9EoTbBlOiU2IHWebSHBUxW+nB/avXyV2ZrcXfQRcQqvYjKtogmoji1A9E12FVOTDW+J1
m/xILsm+2ciXatO8Rft4O6/iY1zA6AgJjB1kT/quso4Z2A6mj96hbvJs71rCZB2oAq979ycByrv+
KZzyCz1NKhNnXidsDiGtItbFK4qn9U7C8L3vIyvTTdlPL7i7JhthRPwIWcIXBfRTgDAt4flFP9Ur
aZffJSxsbPaMDbGHa9K4L0yKlSIooNdYbQc84TVTnNisN7hh0b16AmVV2pmli5BxjaVebSdWZs1v
87P9oBUPK7ZEsGD5hvltuxggPue3eq/VEKtQVuzZstTcHnJW4qfYqk5XwiCzZfQF6dHJh6h2SMhk
s5taLrcQ62D0MwzSRcRKq2PDZQ7Tp2ySguNeyhFZU5aupNP9bt0F0FikMk2BZ9m/P43Pg/x+EBMY
AFSW4MOlBafzW3MIu5NmxFgat/rE1XOpmYYlE+b5s3sLmWKOrmE1kDhYgFwZmoMntMpZyx0MT/pp
hDWWw+0S7ozmmS631KEMsXlCFjDWnT+fqtKkgnYYCh6PIA1rqp4i2ZV5Be86K1Yd2CbeIn8T4Q1k
V/Ap03jNVTNnpxJENprbEMb33Eb4DDphYubqkh+2z1JEkLlpc4dK/jwekmYrIIa+PQX4+LgfdmvT
fzMP9+2HDtOpP4iF1chOB5GzvhhAvcWMHBxDhjEHC4tENgE+g80hddpD7Mg3AcRDGkK10nho66ZY
wcAuVWkjO2CZxEbClZTV+zQ/j3EIUyNBUVSQhjIIzsSLekvOqjU53Sl2VAtRpvv6H3gCtL583mw3
hCGMwb/Y+UjeZ5v2nh7jUa+NpxCw8IMA8UpjWoy3fSes242+bCpr2dStFgpecbJpvZEFniz4Yn6J
HQF0ky6QYCXVrJoyg7yrCMKHa9pZgyufRVOCkzut5nGPo5PbOQt4+BSYOyAGxuBI7SfZGVz3gxkZ
BijaIT2UflSB0HvFLnrvTqKGsbOslQFCyQkzF9fn2l9yttAE8oOseEVgtwijQbXyFhBxpKElGE5T
b5XcbQ/ScJVCn8qAp4TtuRnsUQP9hRNZkL0OjzO3+DQWVn1id2+4J+6s2uAFrqo5a2Le3LWdfK7k
HcZ7aY6+pFtaBxWTncwjq85u9uPRcMh6WDDEG2ghdxA70JQJl3FiIsHXdYF8r+ofTQRK6UrQ2gW5
nYTBGiNHS3dppmCewDC1VHoqI4f68VsmrAphFWts6JC78XTXushsmO4j5egClhOufWqfcuCMYYox
T1nMHi2yU3lmFAHeEEKcmO6805OaBcqOesIMSs3ywS6Tg9paNEdoeZRlwKXEmNBX+tcw8cbvCZsH
m3SmpIHwRQszjU1aY4rb0Ho3xUxfMBSduAK1WoX4LdsEn8/E8bx2YHHMqwMeNQdIenhFWeQUBY+c
qgUDL/RqoDoI9U4wrhkOZ2BLyLDY7JJ1v3sTYhaquCptDMewNEvmIl/M+qTFQAwnWWBeG5E5r7tq
pbeY/px5jegNP/OatlZwjTuHqCEUGA2E4Yogbep2HyKV7r0o3vQBRAXvmk8V3z7Zbnz8Tywiw5wc
0s/ptpxlmfc5i4xr33tBw6XWCluOmDbdIbpFiBp+DjXzyRUpRz2AutyfIo1xrPiQXWXdnCC1tY63
oRMTnx4SskU+ZUSb3Jx6Lz6MNUOKjCTfR66P1FexNK85qZZuyWZlETPjEljKanxiVbbCfbJdnOwY
e8V2fGvtaht7iRXwF2tUMAnrex2zsOIgCe0nr01s6lciIDeV+9CmSNSVhOWhVyd+X2K4cqG3dH+o
TIG1b/Ebki19hg7Ju/2eu6MbPLQr8l6zdGdLt9MBcnf60jfChmz1j3lLb/kISW+1/V4WrV0qrqQF
hHOesUDfzlv5KO2l/eQFxxd1ifzIF3uGSx9xA4wHWfzoIHzqJz2CdmZzxuMMqut8KFfER3acPfNj
slK/QsNrV4XZ2ZU9O/NKdw0fC3BiR5iCkRciS3MjW3XHEAym8mUnWD0zmOT2kEKCvyK7xgIcMGwy
2QSmWPL36UXueaqa3VmQrBbfWlt3BTfcBodoE9nCOnlDXPGRvfWOyiVX32GZH0ZG3dAKY0tJNJBq
yU4KU+9iPuVc5/VKR4aBGVOH+qQTPlmLhYTeeNza3m5na7TydWSwWeIZKHvFllSoFTZ5YcTzGJDj
aVscoprJxMxlUCOWCWazbINt4ncvQchMqZ3LvICuwtrm4hCKVrsekERLpspKnnPRifm8wpuwZvjy
jm/+7d00IF9f8FLCh3HM1/q++2pRxIkR4LnFbS5Bb0BDdui3ru4RK2RIhFi3IffcKq3akkSzy6Ga
uW4WToHFoIZNDSMiMtRs1mJqDRNzBJ5uhZ3AQ465jeuu+t4pIKyE1bRtHmEG+Rc+1UBnwYciXsVD
XDYQ5U4QWeLCR9lZktWU34KFay1kKb54ihOViFMwvbBqXbjRLuq97NSUb4WPhLmHjCHDrvZSBXSt
ib/y8M243PXYz+Ntb7wb2NHSXOKdikfEq1nfU4UrxllYLyPIqN8proSII7G10nst5n54r5DxTS+y
LGZMscmW2tRVkxXV1wEi7gQEAcvyvEqP6bas+HeE5Q8UTMn4EfEjn6CKQYgqGZqG/EF5kYvvET+d
jTFYBDFyS7M2RVtHMpuwLUURZQE5RTxzMpaN0tgkikBP3mvMSePOMFoeSdDrNSAWYc9dzVMWwwvC
5Z5acSO1g9TGI1Ahqj/kGsrJaTV/znxxEVm+2O3rzA8UZEHM/LS8y3IFWsnovWYRjjKnl5iaSsXl
p1gDGU1xYoXIcZGfDT7tzFbnc6Nv6GVJUUGllmqlfoNaZITlTVNMvUZNkw0Vi4oEpAi6LQIGjqjD
7s2Oj55uZivVDmJAIi3wGVP8FLlNm0MfrUXV0elaUawZka0yAXFqFCpEcym4ZHAD63sWb6Lca6pV
Utoo9UwTl8zFDEULfynxZshcI4BuP+EYsLm1aQ15a/fHt7xjYY9ogpWqm6FEzMotuSc4xgvvei62
TCudSbaaGpA0zIMlJLZO/CV5IOgPSk6xQcVVBqcgmKu92rBQtlHLN1nZViPTPyM75DNEpmaOqDbb
I2Cug1WAGUg8/MdRI1P9B574W9RoVH7FDorw1PgxaoRhqZKqIZHb9VCjhoxCqMLKM/nKD4b3kn4R
zYVO5Q5u4KWHZDfe5MKcccQ6p/ZzylSZR+oZQRlipxJL6DmrYG6xoPLmE6E8YB46NJ/J5zBA9I5f
PWro79Vn6gyfAqCEekTIORSv8Ip1NmERVPhoR4j38QV+QX8mmgKkyE5k2RLuachIyfT5WcmHAANv
4P2emAhUu+N07DQXo53giL8F5+QaZUx+a7bLKeuh3HfbeJU63faEyM6eU1u2UZCzkHlaEkZ+hJ9u
29vKerTb/WhXVroabQzGziXnPITgTK2ahSZSUB/lXC10MXnx3FFF1L8u0XUOmbqKCpg6CN61nfiu
ncTPvkJVHpKvNAZ0hV6KY9da1Y16EuJ0iel2joXRuI5ctZHIWvlpRLgU8UZ0jJ7VOVPLlWqw0nCi
CbXHBgMz/yj8ASXH7KDgCdlZA7sz8SfvWGa+qUgxJYaaFgKtquAGwrkzUiKjBNQ4s8PoYio2tQKS
lcJUb+QjR4SbsuqtvwjcuCBCRmUrxY0KE2yhhnn6ehX65k3veaIjcCoOAb5ne9V9hWdu5ZigDS4j
KsvXnXoaWkyUrO2BSo5YQG01Xr1DjYCFVmVj2qnN+phj68RpJgg7RnuuVbzwcC0gTtqvumHbTUxD
hj2xvDaL0RxmjwyWGFs5tbLI0d34GO0zghR8XikvYjtCnrBfX4n/20KY/SxfPln7/4QOJuvUkDSD
okyE7/+/7/mtnz8d+09h26Mv9wdC2I/NfCeEKbqsEuXlxmkiRefsO1/v5dDhdQ2R/F4KI9gnWaOG
oqHmpWPe+aezh04f0SgxZCJLLwHt7xrhDzImuqd/UBfRVax+7+spmN8kBd1D2dBQjfuhKorFEs0L
VsUW88iEivfndwP0B+1Lvy+8v9qqKhEVVVckSdFwBH68REaCUM+ogvDRrW9LNHI0bF5elOikccSq
6p14qFWd0XCiKrIBxDKYCdYiCw+VzCfB642KlbeXX3ZaSkD7qbyVN3VAPWUx0SBbejtFkmrc25ol
2QfxJHGnZ+3LpewzaHMeoYaROjkUeQktsollqyPaR0LbWmTkWoNQy7DDQzQfxS+8CjYZohGXc1l0
k10jIjBkigya6HS5JZ91RLOn+oDkdWh5oXAxtFLsqw7aTS0AU20U8ljjSWOqDiZK1cmpWe+3+io4
R4yuFF4eBrdQ1/Gq99sFzxp9jeWOhmwfJYNTMbAK9XUzmi0Figfy4Wmd+5gHUCJ7V9cKnz9KjWuy
rRrhy1Uc3lWFF48scJSb1u3pc253bWWfJdEaUL8orKJg+Hs5dhaxJ0uziadYhodiv8gCDSa3bUIQ
BiA3Qz0FpW3cUFrpDwbqlxX02FUBRYnByVEJcxEEmInVElicdN9uMt7a8otel3uUFO/be8uwwGEu
5MGbtJX34j5yjY9cWNeiHSWYctfhHQv6pYy3knHWERS/HBqkC3Qnl96Q8L2qMiKyKjEju0c1UGIV
uhk9SiP3aQnZ8t6/tDssxDJ6emdlRpDamYGf2IFJRnSiZMEMTH2LmNkjXuE2ru5ErgoaYiEKHd22
5mQhKGIqqDDg8F5TmPedJW3bBlQUc0roHsamueYZxOdsHfr6NtikZ6LCdCW2th+sqw5XbOz4IbOJ
E7Ruw9u1pMdKiQA1uiTioV/EoCJ4vr5Att2aaD3j+fVXb14z9Kvdqxqa2CGEL7094wggwp+u+KMp
Xy3gyf3Ih9Y0AhNF6SqGYk3wqM7LZAhmNs4w6rxUraFnk+7gSemtWtOjdA0XJhxbM3HJXt4L1qaz
0FFczawEZZu4aFg7KF+jqT3eUH/BiMYlMH5dct7HTOnMDqWZeIMiUhdAShkKSuLEs5iXoTUMtnxG
XSbsrLJFzQFQ/ireh52IA5iCmrI2hfGNtkzvoElZUUD7TAoIRiZJrHyWDKEKL5kEiiOtFifZhmaM
kVTbtR17Quwm59FK17EbSegEF3d516yMU3FJEy6gcHESFSxjvEWhebIbsllCyC6Kn+tm6qXmWLDs
0qHgl0M4mJO2l2aOthFuScgHwckBoHH8SiSTNizckF05/OomNxf0YSM+ILjk6duwQks3t+lrEyKL
X+XoyRGw2V9hyx2BS7ivn/E+9vIJsi2GecbrkM01qJcRfXmvTgG1JqED/d5OQDtU8uo36YLDkB3D
CYz39E1GimMOTuAODkqKdrzJWfw2GO9dvM0Kl5JNHTqam062wcNN+ET3OOi4Lr2hmoRpaYfAkWeH
1h0Wk7Tu2HvDLbi2iGK+jOt0llBoujYUVz0DiS4iGERJ3cKGs+pNoiuVK7Rmg8VPUcpR9lLOK3R4
d+qMkAhdd0Nl+gH7J0vWhFQOTeVeWqHmKSWsTFYDIrLlgAeMYLjaDl3shKMbj79VlLTQiEDBAv3L
JufSDER3FnGDq7gIqTd9UeQqKrTrUUxZ4i846UDG4xO/OmsUzYgNLf2AbpXFkTw0Q2X9Li1os8bI
s6xqU9mh1WmsrVErCTKsT1K4qdcNJvYY6N6Q19L8IV6NrZEx3Dh8oeaIr9mNKKwABTP5rn4piqZ8
RaUmf+suKNHgJIKe0w3qARfpqzHlh/pVLr62XRq0vMFoHNF4Ef91kV6U1EsW1gTHPtgE6iOWOVob
oxsqSFSzYhWgSS+YEfr5/RWtnq/CwHKySYNNZVIUlwcHda5sQd7Al3Nx6J1Kcr/C2AwSDKv0I0Lt
zUt39EtZ10BxGG3qoRym22gKH7XPEUlyxRTVgETYzS+nOvJxKPvOa+kMsbAJd4ldokmEDnfrjKt5
JbodtA/hIwO6aXnWWqgk6bawUTzJ02czbZ0ix0JixelHF27Q4+7EjdB0UDQNW+fqwxhXiVaxpEIh
s7PTNGEZ9al0EloUpJHTD401P9DGDnGehM4DRLmN0+NA40wTlJokru9R9sAamIHk4aid8UcimHJr
ShHDcaMq5NMqR2GIVmeleYgxGrdm7WIg4iwPBXMw3h1WNLPARnQ7RhkstGer5/WaPIKtgZY+oRC1
1iLZ+JAxpsRrdY5P5IGHhqdowW6Yebk2CkZ6mLKjpkPAsrdpQTcDVc4EUtZPftZAdkZXzVOx8dxd
I8V+F8lGpDwerMCkLzeuXWEpalfYp3xboxyg8E5EUdccG0tYp5jsUYepnoUt7MilRBOaB75CeDlY
e0MHuXDHO8KTfCvf0TocDLc+56JbULtE2TSzMg29exQisXo3gqdMR436erLG8PLFBIHGS0ZHcUfq
JZDkL30bihsdhbsBQUgxW+m5VEXog0uZuFHE1W2E5AUTjjozId61q5hsNRJaWFaD3qovqnIxDuNl
vqTbhhX78hh3rJ2fY+V0mMc8EVIr8tCwR1ku3ebbMWVHtbKCDue7+EvmyxWfkLc3pxiTR72nth4x
uWet/JqhM3KhCCHEhCI6r2k7Eb5zeuIu8r5d95rAZLlgZZzjwKWsxAJqppdebrh8kGWcAhB2u3mk
TE90sy0MU8brlE7v/CkuxcDIZhq5weBm85oUh7S79906RGUZ7VU9EyESPBkFPmJ2iQGlZC8IVrT+
Ni27LDrouttVp2BTLk6ZekEbmyS355lF4U1bNlFmGe0BC+2CwZt/afv6s0H7KYZ8h0r2gGLzcEYz
FxMjpsVyAIQZQoTBvFY88lBYjdOCihVOB1m8vt4X2mps3Cp7TR3BRK+tSrw9eT3QI9okCAoanL9F
b3ig/GhRmxRbU+l7nO5w1DKW5Dw46vsRbVWfuJVZma3Wrf5ktJmQhDk60+iNoGGDtpATbYd7ucH5
PRRLAYLa/KZcdYW9prLFzND58L4cpSP5ENDg2AYfZQZhzYoZo7avAUGEcNTQdEs5uQxv3XOuuKZ7
iWl0MG1Kq2PebTFfk4tyV/KSG+aFMgZ9M2+j+/ye3I01QW9utDA9zSrOaNujdoqpUtgMaKT9/84t
CZU1VdVwkgVBIvQddXpN/Phtmsbf5pMe4iH+n/+jeQqfz1bYNbcYJ1u0r9mkrymZT+HWT8Kpeeb3
7Nn+C/X8/VX+ST0JTv9UDYnIIkpX5EfqiRMf/jd7Z5LcOrat5+G4hQjURRc1wZqiKEodBEVJIAoC
BAgWwCA8CLc8AM/gTszfPulw5sl3/V7cxms47FAeHR2RRLGx99pr/cVKR1ZlRxSlGvXlnyoMS9Zk
6jjb5uOG+ZsKw1QoRh1NN3gPP/4rpSdaE4G5/q36pCbWNUPVZMe0ZPH6X1Sl5/zZXu3hkU96xSe8
Noea9bOuwMpZaYOrRk7mn3fphXx6PJqGOx4vM2MpvbB8nSxgklcnnx+Y4kK8YXXxuCczVjt3P4L6
34C2rWU3Q8gB+LbLTNc+B6MVn1tPYv2xtq97u0yI0Yg8btXLcD9cbpHCGyzoRTZMpBpRznqTCbWI
r9jGJV18jvpRVbdPNuuq3Sr7hhoT4ZCvXYPHT3EKEIvcxT/Qb0ZzC0hvWh5I21ND6Enk+oRo4esK
wkf2/jyLdzsUDDevkBLe5Sx5szyXHz6/avpZijbgrCb3dl5yu1nUV6HCTsg9miePk5L4P+NnXB4G
allNB1xE1EhsLGbKNbj7ze7xY575gc9Vz+njh9dy4lsd9YitqDvkIrT7il0naMnm0Bi06junSZtF
3nIbjbQqsojBUMuEwb4FerNKlXV38zJpZT2mzkUN2mLCe3nVsqP6FqljzLXcu4mIyvI5QN9iR2hJ
0K6OSihpC8Qlt0uwNmrBMSB1KZrZ7Qnwdd/x4rWN+I54m1Ly50I+UNSbLi/dEW5c8RALcph7+iM/
ISMpg9ADqsUS2UrToVcbe5/du5h0w6KTvuCQ0uB2Rz/QTRUYm2cK2TXc2llvIaZ7xIPjq48xuNhg
cRct1lvTrZ0fyJQ2eHh3NCN2Ghm9N0rA47MLgg0y5g2EyZ0kbZ+vu8/7Z966kCLTxyKHoL+7aIHY
C47KHqDCeSl3+aLa7kW9LR8ESPzZU07fqeeh28/Ut8D00jLb9LPLBNFD6zkOyqJswSNN16fVAONA
ikiaprrMlWfY+YY/6JHm3n3HXW6faOy8zzF3zR89cMIlFUiZnJO77T6+1W9Td/kFahUDKOT15Cl+
vbJCZyrPFdLwIwX+CXgC+YJGduF3K4cdcWYKvTaQ6K5btZtqxYB9qGZo1i+K326Kwv10UpjAcJyl
yTgTmqE0GsNnqBqM+Rj6aZTFgn94nsCYx2mW5Hxd55flmUKthyRZtuvJhQRECx9z/ft894ubey9C
+dWZOtCwaSR7t+De+vsPBCDocykDzxGFAYdKJ0hj+cf08sLhH1rYLZt1uW5eixfusXcpwgzJk7Up
UPkjyhFkWEfFv3pMe79aPqfWpov7eHJu3dv8EXE37yZCaQTkcf8lqvnBO6M8+fhE8hicQtt3j5Rw
Xh1bYheen16ydfWixQ51yFubOGGT3F75BTA81e4FeEd6UzMU7pXqWW/GG+r2KwXv221eh5Q/7uAJ
9OXuc/jU76bd232aBSVDNfqKfw74wIsxPcf9pJ844e3ViJ3wEuaJ8lkvpU/zW9miKjodbxskKkE3
KbZIyhF2vV83oRNeo3auQByWsebzfIPHr688zvl3GVyWw+vZ8khGqNcDhAKBSiFeBrdvbXoOTOaF
uPv94O0ddysFmbtFdHTJhbgIIt9VPZQxvEFAKK27Lfw8gB7yBXIF+SDmXf0uB1qYQ3coM4QiSKJM
bpj0lwlESjYjtWcBCNrCmHYv8ut9SU1/UA8WklqokgMalZkEMrdQAStssJo7z4L5nbsbCn3O1U36
u3ufMDqrW+ddFyhmQpRh7ufTJe6te6Rkc8W1puOkqIETKbzvKzRS+dQKn4wnl/acPCIT2czpq120
m2bTcrZ+Usbi8g0u+jlDiHNZKTOTtC3gdrjYclpO0+R6eKDp6SdIBSYZj+fOu5n5JmxeHN63dxQu
9YqrtxP0/6UayeSMLAoTLsg5ouzvCAkE2tPZKw9i02pj6uIcyaHqMb6MlMNiJmND3SN2MqgWxf0U
44e9oYVj6Y7FVlo2uwYxssAsUdWfb5/aKbifw1v7jY7vvX7XD/LBrtw6I+iV7uXqP8FIbcIkAsaJ
YcdzAlexahZMFXd0t86miVpvqR6MsJvY8DwVJR12ACUsNzX729krVLQUuAT46JnHco63GcqFykIK
5Lyqy1ShwGwoxo96BpjrIXFWIue1hDHaaPMxQgWZ5BNpPlItzcuZvqSs1pf6spypy1uYTZTINkpX
93XfCXLADt2t3DcTTODmjx4+DL6Ie0E91X0KT5/74bfij02NDInkidctT/eHlRGIn5COzVtK+qFA
4+PJy/G0tV7HxF4KjHGMJWQmlWcWhXeyClEbPqRw5GlculBeXq/BmAaQ91bdeE9pdpU+bsd8Bvxa
BfcpiNS98MZnYM6yOSDJONWmlzTsVK/9MN6q8LS0JzZQrhV0lyBXwpMS9OCpB06/yJSZqgWn3ZUb
tLwRyp8bQ3qBHoUrVupVGl8CIxgX7CjiK4H9CnQfioyMe4wMJOSMC9HFrRaCj2J3cvVMR5R2XH3D
CrpHtm2oM/A8DnyJn574MkX9/bwdWjb3lnc7+Rv3Z1heUQoVxM1+dbIO/jGqdzXWHOwV5VuRCmSh
t71ZM3v42ftAkT+iBnq/bputmkVVOXl2RwXvQn2aG+1OziI0OKcNADMTFgQEym8IgZ3c/P3Zh7J/
GPx6gaABEbqMimjwn4Hg08CTdne05NdJb7rXyTNQKcBvv17gkvanjRDA3Pwbj1M8ZJiCH84zIGMZ
Lf+seWNCfWVERnTetrN0iWEmeOcBBfryyofE4Z4BNfDMePjVolhI63SpdG6JXyH/AgWjGDt2OwAr
ypzFol7gj8jQWu373XkibkbAa/fD/fCsAzWnEMxXuTPpDqiZmu0FUUM0kGcushVM5KxGzHGKT3G+
6nfMMspFjk1lZmzQfVDjtbeoMEIqw5YRdaJ2ZqfJDWiQfXwAn9LW+rKZdTvQLMALfvsGHGUuz5N2
Yi8BSiojPKlJZ2N3mXEcajI+X+/s5TNhbbFV6yEzKbgnfSK/PI7tPpvJLwaz6QQA99LszZNbG+7w
5QDXLswvKtZoXKhbqwrGdT6x5sb6PMO6ED6T0wH8pjhUu9vemo9JvpXW3c4BHnnw2KSo3ALUHSiF
LyBewrHQngLAl+cPA3ue2Ef7WPKJdnaeaDzsftcByDSzy07eS3OgmJuLf2jLeMDQQCz3AbREwKNK
gCuGfbEgneA0zKPAWN/2HWlR4ypRPktja56+OIMnH88Tw+CJ6Ue1mDFQjOb6tADZ4tsE3MlY28ty
YkRgTDl/5RNnDlRmLsXpx8RcVjvxWeXh60eGUxmCR9i06wdLrQsyprXbzPgUm16gnbyWeZ+IVUTy
RMlruo+wY7UeU39jT9iEWGlvReWediiKJqxDICrW4RsBz1sdvzP3+1sEI4RZxY/FkhZHqF3nIH07
pGJ+HRNI4HcCeWl83MIHgaj1eVLX4xXw7CNn8oMTzHBzBbJ/u6PLE4JGChliOzDtiPbuIKbSyXRB
UTNw6giOeNkF4vURdntgUuA78eQ98m+uWywtI2LxeuL3hFjbfXcSXB6zC58w3dm78qP8qHvTXR21
Dcj/r0+/P4PLwkrEor0HJTYl9w3FHgsYKZQPm80dr7jExYJlpL7fAUr4YO5JXj6PVsQrEZ3F0U3x
uTeUt8gUgdq6gBHgClgsXo1kqnbzSTl7U7H7zC3v9KNEHWfDiPNiRHzO8bhwI3qEhGLqQ+5G3GHq
OhEWGUuEBvUWpcsyi06LVPHBhoGVlXPAXLtSAjpu3vnmSzm5CuiingK4SMoa3EY6B8B6GI5Ae4GG
VdcuPk4Liwt8+P0OKPuRRQ8uFEUd40eAUoklxKYFn2I+ohcTk/0Rio2s/ql25UTx3tFAIex6+BYz
/OYPVoylxxELRFw3mgvN40q3rBtrXe2kuTXXPvKZxpstlg4eIe4LieaVQz2w5OD4OrB7vTD9eAb2
seLytGQIHYGvMuW7Hya7vD9LCecwoYFab0R/t9HRSvS7Z/AMBr/5MkPU1m+rFRQZk2OVhm9Y5ZBF
WImTtBM4hD3XY0R3HizKzHjAYXZHgYifMmnZsY7vxQJN3aMKGRNnXe+0yHypdlcCzr6RV4CARXes
sRKwYJsVwLKYCMWECJGSLJDBzUWAEvs3fKH3DMSEYtYt5NBQt+nyWrwWVNYcBhJArNS7p0RH0MSk
V6CL2NyYSd3u4i4Kobto3eyl9hLwrYCUill0cYvDO+JacP+K78AHPyQc5CI3l5MTd/lZwhiGoZCx
7Fl2Yo6CsXE5DHv0mKnhafP8FQRmdy8lHjjzYgdCJx8Fn/AIByKVw/x7hPdEwvjoET7JjGNKcAi0
oESFnQX2SzODpnGlCBlJOxFrJGdGHsoJmSQ74hgUsVjNQIj9ztYOZTMpoHq/Hen79vzSshK8Gb3c
OE4rdeoUK6sJH6OfQtqmxrwwFTcDbH5+VWpIueoaj3NYPLgr+IKHl2VEjwuKERQfN7fT/dNH2r0V
Q3TP2OndFsk7bqk4baOSFJlaeAFiP/r/KZDd/1W+KFRgCCIcA02EgQ/639WDrKpD/324sZtgAd80
w6H6N+gcwN9vx/sTnTMMzqNYYF+/4LTfhCHCs+Qoqo0kRbid/oLOGbpiKramW4owUPHSn8IQQ0ZO
gp8Je5WlILT4F4QhuiykbX8D5wxN1oVuEle8Yv8NnHOyR59VCji8ObidUF18WDdP/2nJ0M9+uTEa
xI7+ZQzPT3KzxLm8qwjcbV/aV1/2T3vfPEw3ix1KmxUWav42zK+KPC33nG5+05JHFZvausgWKCty
B6cRoDU2WzkWOH7YUneIr3ah2fEdkGGYtgsZumihqa7O8sKFvdNCOVCDPC7jcTIsFF93PErAz9sG
PGaq+PgH7Artu2+174WKH10Bw9nIqIrZyFFB+v0Efvtc+0Pu8RK+DVRho4dqT1J9xHpVCmND0J+2
V/fkxABJvOukri5AGnfPrgNkfRSOoCQ6ShQ14oNgLCrSSFcqZ5nj3Uyh52uklxPnGsPsvrmpUUEi
JFQd2AWGlWZu72qcYTKC3T4d21LCD1PfwlPqKRutTioLUYhrayv1RMiNjwgKrz9X3oULIluNXrbK
52UEqQkYNF6is4zxXo1zvPIh9RXDl/nd4LVm3MOWZeTVY9T6MsLTn47MAu3ZuDo1Kw38Zoc5tXv4
p4Mot6h+upC9sUIc0M6zLSkUaYg5ldIgcyKZwIY22z6y8QxYwblLdq1xcQ9OD7oDhNJaLtn0rAda
mti2YnNPVn+DNL5452vc7ayI+OuPlwGs0c23FUJ0RIq2V7IZL6GQyM7sLGAXfyprh5z0Eeo97BOa
+niUZtnEwLbv1lB13UxGU/DR48g1XEaNkklGUfh56dxxLdXJaQcWOsuyYIxIwPLZqt2TaQ2Z3yeP
4/0cSPOnoJrhJmU9GHTI36WRvukO2yJbfSCru/QF/4Ds6sprSYsC1NroEtjxmvYN+/L56p3Lxr+z
YTdG7muQ4eBtNhlGdbr4Le6xAO0q79Xez1v8x0jX6yZMB5zcsp57+rC54HeQ0k2DXU2bSFs+gusu
sraAfoCM9uP19Nq9ph5oqbmAzjN6n2u4FAs80Sqae+SHCn4DDg0JaS+6IuqpDwj6WmyeXTTZvwT8
WOP8HJavWXbR/fW8PCXlyxDnyMnzMPfv3+rUgwb066DB8qEFeBA3Ij9oEaPi05nhmPlpUCqsnCqp
glKf5TiY9KW9OemLLou5pgIJrmIFN5zwQABYMr708fM/ZZv5v0l1SGjHforzFArm31UdLm89xA/7
yz/ZWX4/xl92FhsTrW3RxkTTf7UF+YvkUEVpaNqaIhtoDn/jfQyVFyzZ+t8NSH7bWdBAsx+hnv8X
dxYkjr/tLH+IqmHF6HViCxZJ/5vo8CRfu1SVsxzSxbeHOQRz0LhnTGdw5/gvZ+1GoIHkQT/F1+1w
BokgDB/LRT+ThhCYnQ4acJ+nFEmfaK5RrMzkOaOgPFAjr+4gqGowAvmNCMDAywIBqlEyu4Wx0fuU
zzmRFNqeFF58YWo/TYZE5qsGDJM9LaQJA8pqEHNXfOHu9E9hE5mkaQ0nD3PdTSdSgDZoxAeqTbcC
xsPu6WthFqcRMOlB/cmmNPYAzLe3aQjy3EbZqz7RFjo1oNo9AmhbvEjlojYCaDGvr+PreiznDZ0l
iBE9jTxO5/3NgS8K8ae00Zl44hBXauKLbngXos2DqFMTfeor1svo0r41xKXO3uI3GjRXViAmOmzM
/TR9yV6loJFik6SSQgVlgNEkSHm0JjG0yfc9X/aND7qRuu6NNS8aOJwU2JaVKUmhcN5kZ3CVPrDp
CoCp5sKPJwPdX3SmVJVDApDVVx5NHpByUKbeZvfzS5O677PLgkrSPahXIcaZyQCc0kodNr3o1MAf
1bphA9wyFvQjCGquaHAwuwliOukfByAVeh8MZ3d8r9gVP+9AQSYFkv8O6HTGTbg6qZGVsgu3C+uj
uM2QB5iXOSonQpKhvGtl8CxiVNfp2VvcZmmTXG8bc5jbiHcav+De6usEswrC/EthhZ8tQsdywdSi
YUqjz++3xem16pfmAp4KyzOhbWj8voj4oYgIfDeSboXqw4ovbHqda9P9Y5tpE4wTk5oNGKyTbbGs
vQK94Q7ZuTW4wBbYma/TjCB8funm0uQ2lRf1vjvqc3s+JNkB7eF9/0i60FplL/ny+jY+hA/a0lxk
PtbEjITgT1uOK2vrrJB7l+7Zr9bnk6tjPytd9c15hwxrP2P2qz/YNYdye9xr72V4Du/R/+thmQ5H
mmkQkeHURdz6d5L///KP/1rhLM7HQ/cFUf+rC9S3FH3XLJl//Pf7v22V8Pdj/xmubVJ2XTFk0fZJ
JRr+Ga0dRZMt2bRskc//ztIbYuOAM5dVUzMtsvM/o7VOEMesIqO3tqDx/5U6QNGd351TlC+ao9IS
SzVNm2JEN4VH5i8svVlmVWWWBSxvsxgSJKtCORPALmteB8giPVw56p4LmnMEPZ1FntfghP6wnRAV
HDzdZZQ9vccDQVzegGjnAb4p6+KHzgX/c6hdEfe5j+rlPHr1KVBuXtl6Iu3GOJ0Fw91/dmvrOb37
54OMZQMZjyo47wt2PzLGwyMwxzi7LDLgeUyHh4cSwdQaZKvHUl2zVxS3CIUUh+mTMVQTHVVS9AD1
PgUP29NBpY0Q2rUDRaHgByXd0laBFgJNG3KQ/iT04bxLJ1flsoboKbvX12c/Vb8tFdwtAwlSBmp0
gMNIelVfUMtM9Pf+bbx6wqdz+rrP7jM2JtiV00qDCqONlK9GqIN7H752uHj25ZIoF+8aIL1rA+PF
4hUhfhfumxErF2ZHSKWF4FYzKK3+S7n6GWSXhVvHYN8g22R7Oi2He9BPyzkm0/oNegC2c2pPKFmh
Iaf18rzuilDIb8lZQTpdGB5lazPwT4g8KqipM7VK/GXWtO/Z+0Yf95CLzwiGrCrgxjh5XBN+2qAP
VXTN9SSNbPpf2POn4ueWn+/MbtMrvmy4N/jHy4QvxBfZ4oKIHp+4jBUeipxLuOAjuoQQdKZX+VKb
oDbb4eLP0KMnCA2rr35r/yiqSzsqFTz4GsoqW7OJI+keVmidkcilSnKZlYuHyBoWo5B5VLN6Jq/1
9VmJ6OTRz0RlKHv7DnJakIm0K4Cr5DbZDejydY6lN1ICCFgIWx/IyTUC2iIJqreMAHrjJzs77DlG
vRp2VnCaNabgZ2zSrgmck+MhA/X2Of0DbF+TPWczkmHkvPMiTsyphfKaKg22FwvQxKaJBDOP5EL3
NN/iPcQVt8Dx6WDtt2asjhSbPn8KcNRnfPbqtxwhJKLlwf9u0VGjMV05mwuJeqQClitB+p6tm+h5
SZ7xfWquzHfUu9bZ7bA8T6rPkWwKGjsPtk/3iKiCNQuubn0IkHrpuBZXr164yIHZqLlN0ARkBZC9
KtTjOFN/FJaKnCBOuLofZiLGrNiXiUSbBkNmuB6rBo0omu3K8i/pyvKyCAlbLE9UPIhGcIlPLBPU
2G8aSRzpU49R2nU8+eK2NVCv2qxT2T990rqAf9MWS2GSgcEV2gckIoruQqdnVtLTcUzb9KgWGGVL
mGRvt1hZXKbD+8PwEBfCzokOXNQ51B0Ivv2RB/JN3a25FH127537SMVJFZSQhbq/KlHD5xO8+8DY
1Q6o8hGOoM46JAGAuoL+/iD6Q4wCQb2BmX+vOmpE8zj44pcX6UUJcNEvXynf+X09xmOkLToWXZY0
UYNFYrW5BFqEOPZK+c0tOR48/7pC/siLPQ8q520SqGgN88bdgBPQPYugKKi+I1ByYoDzIjkEi4Sc
KybFDgzw2LsSjRusTe7NZo8QsoLU0r2Fes3zoMWeu3gpQ1TfOXJJd9X/oWMniQT5Ho6pM+9A21Ma
SgFlQy3V7gFyaN17eiiBekMnLJAbK668zGZ1bH9lqKTpJ4afPs4SlBeBFFw+8dOI51hG3OurGMs8
uk+doIsv0xv9+upkjO5AvaYvMdZHyJ5ASYY9mmpQe8piHG6ohayA1ETTUCvfpjkZkD614woOrQV0
FkxWho8TXL1j/jyFbF/QwSDZ/vWFbJYea0SDpfx5Xhqo/nEZBHVAV6sNXEAzuSzk2WMrZV4F3NpM
momMzVqPL5Ea92spuW7VmXr1L3TtoPGA5mk/MpWuAL2BH9Q15A8gcjoswNeLBb0RNmpIf50ELmY9
Gvurn4YOw8BzwFEIB+5hHbgjf1c2DmF0/Xb1ncqnRp/cSBJX6svpx4TCFVr/0vvmQN59QyKPr/G8
HQhZs2pgfqHfYvuga5iB4JuObBPZNxKdDoZ0IQMiEUSowhUAwgRVcp9bppfY09R2q7i8nZIns4hW
EZCGoh3C+bLsr2FBg5McGsRXhOYegS7y1YLWYdXhIiwtBZ13Sicc1Mr9XO7v/k5zH3zFJzcBaqmX
eT1VK+wxV2Nqmzg/3AaQ5jgkqNMQ1ZnNQm0Gd9yjLrWWFu1CvIzOgmrCdxXu7WASfhlHLK1sZrCu
6UquVw+vP5pzZVkypSG6UMCF18zlv/49f2stkDx3iKT4HmZhSuseArEUy+prwd5jeqqZXJF8abF8
W53KAOC8ip7FUZoY93mFzRXgHRDEedeou7BxXILG/NDlzwc+HIv8vIlHvSUt3zTnffHATzzn+3Bl
U0YObkethQU044bINB7ZvCeJfxBhfu5WjNbtVkyM06btNyfoWSXS4MvZTZrADooI+1H9Xc8zi3Bw
/zFvKxtE6iULq+/H2yOuPbB5YDhkbR4w/ONNXDcI/Se/AcZ/o10BKL9W7K4N7LG+FH1vRE1Fr0Do
PMKADrUJBtXMpLmCcr+cOGt44dkInWhFogC6wKEJ3a7mvdfuG9w70xJy7Dii7hexC4olcSCXmCsL
Z/3wzxCLggYUZGafXOIO6/A4pYtIIiLmE8sLOx/TcLURfKboxIN7wD0KaUa6lQ6/RBqzNJThEd/o
hMn7M6a2viJSxOXcRqQhlAuosAlFtF3xiHi4fQRZilv+FwEnw401q1P8mkIWVu5KEJVtBbUiNAH0
muQ7mslA/Azd4x0OrSCGew9DSqyJVkHhjcjnC+oYCmvf7QZpr2xHpEsOjU48koMkXZPPtTtk30Eb
pwF9L6ddRO0aUqyJLe4HnQf2t7vfBqLoR09DtnUhB7vGdoDByL0G+MFM02cN3DzL/3k93DjlO60g
fwicsHpcLIuVjWAhfMRQUGShpgtbKrTTGIt5FQXYZvD1kF5IATpEkjpraSL8Kt2vlzws/Q7eSlCC
gjBSYOnw3njKD1Zlwj++QpqLmHg4AIgTZDO/OiI9VtcQIKCZtbMb0pC7EEW1ZCAijcOGwThLntCC
bPCv+Z8CL1c9kbDR0AS4wKcng0+qxaNTJ87H29vF6xjU1D28/jzo25F6kk+fGA83Qdh5Kijgy+C+
8nE2uH5R0QbGSZhlOt1gngfI+ic1/m2m7zWhraH2P/26W5hi6OYrtOiduaeG2df7+x9EdBfcaMjB
3cDkOvOeje+bzaHfCRUApKB3/UV9IulJtCRdCgW6BSGp/JrRQuzzLiYveQQTC/66C46ClRf8PNp4
tvTK5QSiyQnDx/CIkCmIZzGapwMZNtd0Z5Q5Cl0HQvMollcXmG6aK4vHgD3igtRK90v0cMSMh/FH
dfxby8C/ds1Vfy+cBM4lwDfF0hXF4W/B1fy1cEpT+Xwxn2zjZzIu+EH3c3Qxy/u/hDtQm68vLz8/
u9v/d2irApU0dJtxlCmP/89FufeP/9H/IaFffOfZtxDQLxrgU8nHjI60Xoq6f/y3478tzbE+/3aG
P0tzw9EBKB2FttA67Qz/WpubFhgmDJyFxv9X2f6ngp6HDblnyrKtyfLfzNsG5TyFO3cC/Kv/S7X5
7xPsV2XONekG7Uyo86nTf59ginPNbtZ4ySePKkDSaB1bKOSNGTpaop7D/J7odfKX4fwnfm5c6Bzz
T1rwf4G3+NLphqGpJif//ZxtXlvKSUlPk73QtwOezaSX5/6J0sdaFB46boXyVKHuf5U8y3KV5wtp
A9RH1czMc/Cre8YAtPfT7pR9ebAc4cmWUB8OoU7SgomUSP6TL27YZM81vh1QVPAveuEgeScVKYDQ
UKSlrpnc+6B8HizzeNJ25ydgrjk1aLcIfQNZPwTCe0XCT6ZzmfGD5SJuxyNLrUqbBWyebBdjnFa+
9svX9UAu91MM4QCWVmB9e+avRr28IhikppQMWuihxy7N6a352lvFFbW+IN3mehde2nk7fKCSBwyx
hdowuMw6at96QqdIYwivgbEU1oXyh9Q3GafPaR8DxGbflynQyKYld33SoUxNUIk6y8sQjm/3dm3d
HbALj2TK+Mp3soepDBHkjHaVV/dAvyagRYTj+NWLD1T4qOdrtLuKQ/HabaV9e/YNlU7FLqzemGjR
O/tMomKmfh/lbVfGURah5uunExpT6e9k993jSwrMlfjTTxUGnP2cnJxImrEn1W8W9k8TsjFnzx/j
p7tJtQWIrU3Hn4CbAUTOWre2Z+etFiG66HHt4hxH8/gJ7Ix9C8ADcPqKvIGcI/X6NqJefT6PtyKS
KX79U8OW6l8RWwoc+Ekd3r31U4q6YbWSJ+Nap9vrHcdvAIZEjznHdY/DFxWh6etfFFoPzX2iPR2W
8H6v1/1sRDKGyRuVFI4u+gF05Jk4KLBtMRcj86j6IMj0Dbkc+l25ZbOrErInxDe0gEqXqIfgBIcj
Pd8ZZgbxBYBGiRqaV6FbRVEHg+o4q+72qj6p1mIKl3w2Vr5FIZzShdfv0JEqvmN5yvPjgaifLpOU
+zQUpzfkWn9B+XW8tWznz4Y9GMqygm1YD0fhCjuQ8al0dxPlKX5Go0yak49Sp2zeuSa0gG03Qc2K
QbP7QURXK1FL5rrnrYhxhCwOre9lBfKMHKqREtFjDFHtNci39wAva6n68Ai8nAaUBrD6k3d7b7I6
aC1tqvR7e5JLIruhbzCMX8Q7OOYQsmmlS0SjDp2SewURLuOqoKDaUqsKFR8FyED/5xkZ3M07b0G7
3WaL2CdHksVB0a/SquXdozypkCBRmlwBeHh3yxXQcQY7792NSF75j1/hFY6ciAusqNUaukdSQoGw
9ZaPRk8/MjLqUSUjj2SsgO7Z/qDf3f20rseJDiJ/jVOPjmUA7UW0BtiwsFlGtXGanl7pKg1ohE+d
/sQnDOSPpvfKq/pRFdHTCrTJzvh6EGp6TLCR1bwqMD5ZQTOGCPdJ9R9kB/+UBLM09gebvQWxye9x
1KqvD/vZ5fmkvrz3V7wJdKBF/DC80cf0PziVzrbyT4K2ZVrgwbas2vbfTqbepLt0fnAyzf5EzoGj
BC9qqkRDIB3hO3Cl0kL93vlX2mIXEO2Czy3VQ0+pT2Yc01aZvGVTz+krEyyeWHID5au3JsVMwsIN
qx+C3va0Olqd5Vi1vZ6Wk3LclTObfhM04qCv1SCMiwOzdVfYSA9q7+tpU3g4rzc5Fq7O51u+sI6j
MLvQHd6ZXO5zes7RzZmGENc4X5ycSLklcjkROT+HYqNp3nTAl8/yM2Mlccm0PXfNd3uS+n/UKNQh
dBqY0AVSzU23hUBp0UISzzrEAmmUy7HGfLIqz/5I13W6fFYhGww2rTQNKAfttbm+gTkQAuFYZrnt
PQnJE+vFoBcTYn2f6B+VRihzU678k0ouvSDT1Xlu0O4aGK4mTC2Lx66+WhP5GUUr4f04Y599T7Hw
XAILow1Ct9Unqjf3WtOAA0l6lbC34PyvrmYoWclZa91vrPaVMSdS08/wabJV4PspAyFHpddhKRog
EkXhtPgBvz7x1lqc6ef0ykpipSHWtuhwOutI+unYHF7LWVFOJC0N/zC4yvlGahKit7NoFn/0P8FS
CrNqtVvaChd2/GhO7sXc9FpcmoMHLmvhTKNrikUxCvjg3EL5HcCR/wMAD+8kHQBs0yJACBA0BPMR
cq8vthps3w3WT/zRhg1+4X7XV7EC6s8+ACqevvS0kGIhp2jj4/4tNShtHumG3sk4rF/TreH4F2r8
7Gv0O+VgNUFpfmNLbo8SLfONzenzRuESm1vtVahlnZ9q89xd5UW16QuYQ/7HCNdJdvess0+4uz8t
74b07kEhBnNJh3Rk4d6i3lDqSPMWGfZ1VrtNHlq025tINCEEWKFVMnJmoSDsTP81X9khhPU8tj3H
v7mIMDroWzqQ0Kn+qgTwb+3baY5hTU+nyh4RyYM9klrrVQOz8MzXhwjBwK8STU/oZ1LtnRMNErHz
p1WgHNGBtG9Dvyh/yUaMlbk4f0rb9XV6CkSXBuZk6ms08TBvYUrTxQKhNtJCxJs0xSKT2NRo2LGl
4DcEK1yYrO//Sd557jiObVn6VeYFCNCbPwOMaOS9QlLEH0HhaESKXiT19POdrL6dVVm3a7oGaKBN
ZVYiM4xCjvucs/da37LBxMUjCxF8Kt4D/I52l49wc/lojj6IBLN1XVGRVY+/caYF9S8aCeQPxMbS
3MmXeWa8KYnPFLSeM4CHLcV5tASV+PAfOu+8UaLthT9PxTZ5NDZKmIz+eu9piEHTr1tP22Ivrurs
n5lH/bFkqlZu6I9bjlC6cOkoWeUZx3NqTTOcRYL/4Mb5UZowfKq8guW3cdv7SKXPOmuSEax48PLJ
BqoQ9sBTetAA1ViPY5GCZHm9YVD8rib2Ip1XtEifS1hn5axSjmZ8ZB4vyS4dUhVQGuTr9k2jeSwd
HubKfswVln/MfjKtD+iQf/2AzX9Wtn//gMUT8rvJW9aUvVOm7O816GA4BLTHiQfdF5O8XCRQfMY6
grh4Ij+kUcL0H5eWsHdxzsS6uVAiPy9ZsqUz+mhcBrzPFjmdELiHzAl2Tx+UyDlD5j9DhdRdXuoP
WfuYFG83ZmE0wBs3bqdaLmYIa/Hf8m2Zj5bpNP5+5Iu/fpz/r9dVHDl+9zCjh6MoT4nXNW7tEZiK
VzYqTTy+4Jz66x+k/THG5rfDy++f0F8OTI+HYz2HnCdUqs/QfSvqREKPnglKhy12hJ2TP004Lbvx
F7qE5IU9jmdt7GxU0ptELADPDsn1CCgqH1Bo8t7/Y07v/5UEtVi8bcVA4ooH/q9n6v/nnuTtn2RO
v37/7w7nGgdwg9YKiQHCjf67wbkpw0aTAav9Q1v783BuarRjLBk1k2PbKm+2n4Nzsgc4RaPJ1UVo
wd/KTNJ1RvB/Klcms3NFxmRvyNYvbza+9mI/bxmnc5xA1O0DmwSAZ2BYtIX+XbUwLGbldXgAbh0z
aNOZuom5rbXj2FNNQjV4JIeQZVZC6ON3LCDH3pNiggL4+ku0bhOBZYWzCeSTSRdbIH+279gVGZHX
CHM7/lNqAyE2u2wla/v4iYoVeiGMNWnP/NjGj1uBRmJMuH1CuG/HDEnd936rAfmyXJio9hdUUbSr
SHSMlh3ywpg+mHgY03sybiG733D5vjgf2YgtX+s/T+aUh8HwMHXRz7waCFaksb5jG2dMLzRLL6P6
Gq6Yi34woDU4CSTYemeNLnbrD43Dn6dqQWus8nRj3ZZ3fgAM5yHDQXGZYGdXFsQQxfhA6E9HEyjN
7ANODW4Z1bvQ9qB7+Rx1V5TFDvD58yVelMPKnA6witi50H2rgyDoVh3nRxrKLmN++CAr+QhvdyWJ
Me4uXj5Fy8AjdmbFCBNY6fxySJuRwzh4FDW+8EKG0fIZsBdt/TpcZsprLo/tlzoVfWTO/P28LRxm
F8C5LTxbyLdqjWJ9Nydh+MXwbCxavM1cgurBeNZYki1UsG84McxZxrPbl7O7ienbNB6rU8AgnfZY
hHbEYFe1FpGlTdWo8+pW7tFLuM1wHxmJM8afE74omA7ZEXKm9Wwbe+VHrTHrmtzpijwZmOsfKSBe
L4JbE3BVfKj6TLoBmGenfpvIKHRtZBvKWD4zCbvEtBxgX9/HcXRtkczhN5b8mqlyOEv1VWm8pWkI
tlO+4QUy3DEaXokhA3aeBxJb5U3FkJQo464ZZ9XZeksfjMYvM3rF4XRQ3BfQRUE3T5c0nvnGt/So
suXew2xuAxNqzwDk1FXxR5XIkRF78OLXYO1BzdCoTrfN9o7FzUWGq+9u+Szl7Kmhj2J536SZs+zv
9NZX7KjS/Cph+Xi1Fhw/2WlpKL0YP/uWJ5S3ydJkDFkgNUOOZmyIqZGkKRsEO8RB7SVfTo1v8pWg
IR2F7cD7UAI/F83rT80fSH2okSqok7rZXIBr6cjMd92oeVE+pSmJTe8a1pRt/H2MUWTfAcjlgWwj
9qK/EX21p3YezZKeDhOdiNl9XA3jtDn3j6AewCuMtaBoXxsYt54NsoCB0aN2o+X98pUy9rFHzA+T
HSed7DK3MKS2WIboZwAT4HIXJ61KZZaoL7tZtIw/80MGFI9cHDUcWZ/lu5Jg2mXHdrsFPxbV/8lE
UI7kwFEsuCT6Xy9YXp6myL9+QFvWVYYTpP/T8mX8cms/ly8O5KwOOpvZPwX+sVVBb2uZ/1jYfq5e
tI+JLzNNw/oR+vf71Us3SbNhZ6zTC6ZZ/XdayzQg/rB6/YvqS5fxmhjgWVhm/7gpU4xHnfWKI/ae
W5qScaXvOT8Y6+7JmFQr5DmyI9t90hVFB3anMYl8l26ovT3rwzoE4DnL5RKYA+eOoJv1QSczbYWL
aNkbWa9nXNnQ3V64ENLeBamVIJPwBG73Kw6G+f0rpVbdR5K+omjcX8iLwfTUXkjZoKVpXMM74yMC
IyLtUIbL2g+smpMJo91D9XlvuUejW7h8cnSxPPCLN9qIwqMbZPU77WFzfEc1HLOs4gULBkCV6hYb
C3Ky20T5oFMRYdBPpw+AG9qdUWgzuPBOOiRgYT8aeBStf7ntZdQGd5q09uCCfQRCBQZFAwvaq0iR
+6DFVncToJo+EDxIOgH9nkZ57TN37oM7EqzaWSk6Rycfgg1sG75UFwqmbw3Z8b44h9/FObfZkQ75
Z1vflg6LSlVN+vRcGTjZJBAOJNMFdBH6ctzed7s0G+PPKKfJTrnNcMA9kPzgfOfAGq11ZZ6oh7w+
Sw8UPE+613OtHKf6NJZ6qltA6p+Oqgu+5WXZoN+LPKCRM62bo8QTVhs6hm51YI9RCb2HJBEbd+iu
UBlvjOviA70zY9ZQv/OIcuO15JFM8S/eX0OWoVu+HsyOuWk2TRsL0ibNaIN+UdUwpjPnuND7mVBL
lMnCbvDR7czHRB5WWl3t1fgl45lqeZPV4wZbiPqFry9HsYafFrc3tgabcXT+8sST0HG3IcyQ6JIT
HchfJ/kwq/X9DRwCS374lnjhbZzTQp6Jz55gevgw8CdId7AXio/ly9J0Ufglqp84QVKNudnnexji
KmIrIm4u2XPb4VvM7ZQ/TMu94mI0vXQnljGgchGHbDRh+6GMgoShACFAFkxqY1QgbL8zCMQQc1/L
zuj5JNauZnpJr1m5nJz7RnVQFNFzAJwSBar63Xek6SDUmnTvxYvV3DZAt9QPAbyTtgneW9ycFZpi
F8DBcBaGUVIcGfpjekSyRFYdUKLSLSyv5Ak06c6uL1APZqDEBzqg5/QoPzePfHUDoCb+5/P2sAqH
u1t902QW9ypizmringcFe/8CHXCb3thvZt4ehTr38+YqeBK5Hr9Zz9IiUBmBn0yTnI9X2tbGqQRq
/45gm2s6V/2MaLvbxN4iL/HFPL4dfX8TnvBqj2qaFahTImazp00G8maEMdzkQDaHkNb4SU2CRL8f
NDp4F3o4WYLOeRI38zJvlg1Xx6ThKrZpPQVxpox0WsGlhuZ8juZi4JnLCu+C1r4ZxtHWxq3GPjpp
m9+WwH9z0quLkd4ve31GvcSzwsyiv0oF/mO1ZKtfRjItr6ltoDEL/vPXzGfrePK2OF/QRr6h2o2/
6aXAPnp8JAwejuU3AqCapi3VEJM9FQwgwWipoQU6U1GZnIVgKv8HF1K5WSePIIoDiawfrAYTkrXa
eGxGgIFCocl8Tu5x0EMDQ+nJhGZsLrW1haK5AhaIXrUJsiMLZ3OO8LKJLJVonKrER779vsh2YHR+
1tiSyQAFAbklAUK+9SIdtWKcMICzEd6hh0D6gCtPlN3E8C7RriWfYm/d9q8IcZTG7WvNbyBjhNM8
n8Z33XQfeRc4xlmjvcEJfqSiUvpjpZUJ4liY+kp7BJTC7DZ/dnCEHsE9W8JQ22lcWIk1u6/yJXpn
UVkNL9wCiY5GP4rrC6UV2ExMXEDHhZ6HXhl/lnwIGM/+t7LJalLQwGwJg5sgs8niHXIJjUPR8EES
hjK1CSa7LDV5afNJ203f0m3R/ztqagVhQwn+u5VVRfpMVhrkUvb5+98V2CbFQ2jlR6pshLb9+Dp7
mTFjFxk0P4rpbnrYwV2ml1ePeZVGvFcH/FFIfupPCYyIvboxm0Z0KRO6/HxRSDn499ReE7WsUY1b
FXFscQ0fAhp+jT3TDkWZVZD7xkX5H9Mf+y/kBNTpDdmapqoOQZz0iP5tdYswmVdf1/R/rUT6958O
Gr/e0M+Dhol9G70JzSgRJE6X+afBBDYlpg5sf+zvfx4yOP8ajArpXBEvLiILftciswx6ebTPfnMX
/p1DhmqIQ8SvHX2sNtw9oZchff2Py6YgveYhg0l2hj6t6hFp0bheLWD+yN4wmTFTag3yaf0YAPqT
eSEhhOURuTczREx/FS2meonrQCRj5l/TCkrVFOXmWgaSUIy7d/u5JiUAKJ8Ipg63jCgLgy03+tPF
/S7De0btSkOKOpy+8VWpvNLkDRWxOWvIxCFQEi+DD+E7Ds8ahHaSULCiR74+4y7GEjFAbI+YjiXs
nyvEtsU6PYhbF/+m3JEdjiUrn/Mpel7DPj0Y5+5E3BWZhGpQMIYKVLITUxfqdit5ReRgnZC6bJLd
vzNJmaN4IdEg1w6wg21MKGJD/3n5vsyS1+yaF6uHvKGhiGSGrpiweSjv7QAM7l6Nb7TJ5ilZ1V9Z
NGE/Utv+nUX8UhxuJHLphJSrj6nWCPrJqJGZjiEaJ75FyGLQqhvleOgOaBMqVI7tKjRtN0fKqj9o
w9BwuCUgrCblGLsB9CtE6NJX75B2qTwQyNB6mTraVQ4uH5JTTKPysrUbfdcBTqEWDE7vVSWlSZKW
LTabomFSltFtoZsiyaDGbFYUI/TUZ7JxvnERZtBm74rpDQyW45C7WdB9vAoreRox24vhtTwNIllP
GVtfq5hp3xKea37SjeCcWDJnMXt3uR2mYTl+4pZr75MbXZuQVLEdOl7Li+j1NGQPCb0A2x+VT25S
aQKvkvHy6pNR+ONxkA75faqHr9l7ikm6GF9W1vR4k+Z5ziF3lEPz4WcSRjRwvOH0mcyZEmjkPr5H
XySYinE6IXUIX4S0BSjSWPu+Ey7O1Obvd2KW8UeV1/l382vyyh9yisGR8vvXLxEtn3/NMv5PE1Ks
0OcQ0b8Uib8qjsev6rO9/6kokk/8hxv4WRSJAvuhvPiX8cEfiiKVGEmfJqaMv9A3RAwxbRvaLMpv
pfRnZQTYASiDVg5uPmrn36mMWKv/SWXUaedwltDw94mF4fczsQzZn6oqDeZkZXupd0m5lbpmX3QV
VIWIjbnClau0qt8P++phbTPZBr9K05qj7FyKwfw86/GF92MbEyDyBJVjv9WAqRSYVLRQ0k1xe21g
e4LCbHpyG07DMn0eGTU82vK9JKxTi7RZE6e+/jQPt47qgZf3XnzdYuaH0aqsltFJ/gCWhT5vlVjn
doFK+XHhE6BpoMzRs183g9/LS1Q7T2fVHZznRgM+V03Sdowc74GlYIzW4nYlb4fKC6gMCwZt+oOQ
w/vhWIUYqI2Bd2w7HF5HAySZfOakSDoA3J9uCEKMgPiV8S4wCr7NaOxzBv6G8AXM4Zn5pLpX3yT+
8S3o4AQGDOAXwZtjMN2DhrGk+0AUr44WT/oQ94xcvEvoLrpzhwYtxzLWjA0GMy03ClXWhM86s7zm
tbqgLgr1cYXJ4WA2RF2BHoNt3i5z2uPskeEzMHFhoAEvgtY+Yo5lvsX5PS3mWga3dJRJo4JKsUlO
PNC5dCfs6UWGcjmJlwT1In1QDeoIVNoApoec+A773Vpn5VtHYH+ROCDKdjwbcitiSxdvmCUiU4QC
TmE/d1ByH+5HUwUXNuHf5hqrBL3mbbuIz9ZKIWcdpBSiDZ42+u9DIpNFsu+grhX1ZVGDOUa35dgE
esiI7ocFFVii69es1EVRufhnnCM7xTb26s0wXRUQ9xHva27x8KqHd49Oif/yWCKv5N9bQq60fnRH
cj5LRvKBb+boDuCVNWuscVxhIk3G6aydpqkX4SDqYQp/hsKeucgqfQfZCY2ebkHUqicoWCyirZtF
VfMtNqQvVyUdFnmYgohc+AgQs+hna0afh5e2pxWif4QHbQacJB9SlG++zhvlW8Dq9DO6FW6B+NlF
dUV4VtDPjLditzpVp2RhqJ0bJZOBTlN/b7yCowstTzd7bGLvTnQsAYobHndyG8ebrp6gsnEQ/mhW
fMwtHiUTdlLppFFHiKc8N9tj/K5x5BtVycggeDofmHe95lGGiUQF7AeLY36rxmz4MI1I0sSu7VVN
9JAnhTwrdB+fyYS2n22+SjEufUgbMnwwQ8Us002eUemberFtZPn5/7GW/PNV4veLxP/+L7TPZkos
y4plUlL5/VdLyb8w1wEaxtXXn1eUX27n54pimSa4BgtV9y/MDVtHIc4wwTRsVdYo9T932qR4sWio
Ilvw15gvDWQ7kAzFoq30N1nr2o+d9M+d9m9ScTb6Fpx12+KWf5GSWNyJ2Iwe8VRWh0BBapZrxvpW
I1m24rWuOZPe+FDCwTeleoPkrXO6jYLAT6eZaKuvsURBLpGvKebCwpR1VxDdRkk5t+V82r2k9N7M
qebQ3OjqgTzY9W2mTWp3PYKUOhTs/lY9e9Z0I7NXu7HRxazSLZlmjxxcsjG0Y6y4AcnMS+WEl9LN
vpAtn25fNgknJDOfbm/F/g4zugIgXdRj9J9fkI0D56SZY4dM2iUc6Q4UAla5bo6H5/HRsbIwd9xo
E6Qz9VjKpzVtAzDLOOUI37uN1gqSmreocWVj/0xeMSY/BBlyQbF1sY2ZZ5HtaE3wQ++l9+FLfOt9
jVj8FB/Zgk5pkAfZ2yWaiKbJ2Hp33vXcjX1lUi+TdZSjw5pQFGhFtx6dYo2p/lr5cLRPrTgwAHD2
8uVkV3Q53OxFR+YN3yPDSSWsVrdxP5fSZafLk+ecfbtyKeh1Ygo2X2/L21dSeLS5Y4NQqvds/OCj
+WgNLJmAJJ1NvORucHw7xpLFh9AioxnJpmtQJLEys2BUp5B+k5JuMZSiv+Ycsr8xdiHqnjMEplmX
ZYsQUAzl4UzqjlOkiX6C4lx01CU3Z2wyBMiQW+dKvIxYVjECsowoHtC9Wl2wCFlk1lyd7cBugOQN
ivOgLphoHZrimDNICVv1KlrnF/G0sDWn3a24obEiHDLjqfp6zpOg/OKuZjfvtk1R9zIdotn/Ui45
5Mj3alZb5iYllCvhEAfBs/LZ/sCxKoBHdskizNcLe83s/cnAZ/wk98a9mwWro3sjN2aY511D4Niy
+TZTdQ8otAJJQg9vA3tvgERw8WJjLRH7ps6LL9NqGLeUfsqgB5/VlF53ygmA05AUzophLNtbGEr4
wdfysOC7cSt4Eqlt6jy0sPguJXgx6vwpfXcT6RWEIePeyO02cTVVgWF+DMqI9YH3SXpojFXPcIFz
FVPy4uUSBx+mNS4mzycO8Cbod5GCDOnu5fvOrsZaYnvP3NVJn2vGCn5MYpPNFfOHqX4aoBJs+xLF
QCA/ypeiy+e5cbU6//Ku4vTsQH7Zz9csj44FL5nBe8N0w+zgFm5TSAc7VuCpDd3e7GH09g2yB231
988o/73WFaBJIPkc01AgJ1Hb/+3+zf7rLuAgafrnReXXG/m5qKBzRJFEB+c3j9HPzo0jPDgOY+p/
cAB/t6jgy+GgQkYkfZw/tm90DihAAjk+CDuT+ncOKYolZOO/LCrccc5m6MqZV1tCbvc74V7bJE89
6VPmWtneKBEKybpXRQa1xb1/JaqYwUgebldp083v4/oBvXJKDanAgivLoVgJKEae7TVAPyXxTepY
wwWoHREQqy9QMN5s9DkNybr1aq27LQDzfgp8f96sdSyAFhNEl8NMu9XImju2u2ajLapNtXmehvJF
c6DAZtK4L/fW5L6nmTHEXDaCGZQwNCsRYjm3aQoUOo/5cclGyu6rDu1FGheT+2VZdhNecxGSMHA2
qQe/eW5sOh46OTpEtRSgRSpbQkxLxtG7QXxamxL29/mIJV+n5VTkU+PdOCndyURS/ARNirmHWC4g
qY74nSylx9ZSNrYSVLASYlr1FUlCWIoNKIDyW96NjBPLn6mfbK9/R8mdbIhAmLfT0I1hG50bjiGa
xdCbGFFqLEbn2oJ+jTVDDe8VzpJ0c2ktT1WSiaW0jACjGrFYoGFw7YMakXivy/7WScbD7WCZ6eLZ
29unyXGAMHO9Wt8bZ3Kpq4lamvM+rbePqBnnAkvKqID0OakkCYS19WGvw0fxqmW1H4bhOlGijxqT
lMWt/E8vG9jnQP5whdJMNf+ybPyfqL03dYyO/Vo18Vf1zyvIr7f3s4KYKntIW1X/YVP8WUIsjIO4
GBW6ub/FA/0sIQbXNL0PVJKG/iMW+3d9Dlsnr+dfgUV/p4So9Ez+XEN+tEsUnggb5OkvjY7IesZd
ITTOVQ+EX+rcAZ11Jb202czUZlkTGOE8npjMhTaXb3Bgk6a8ofG2R9ZrXDAEf57bZN29O4ADErd6
TPVltNDfSl/dImD4kGtlYrFXlTvLHQi4zs2Ts27VGZaTInlRyiUL+y7RriFmfcdLOZ5P2h2Y9Msi
CdnnoHFc2f04NglRn6q39ws5h5AbWgT7kTs3bwKTUHySaje+fengIdXpk3iT3r9BQn6b2tnn7bur
joBR4ykAy+RIEEbwONxx/7FxYpYHtBSHI9epLZ3viLV7nFvQTqoFSvZLGZjLbBgNGFLw2LCZwweo
F3P6y7UdVLhwaK8i0nfR2uRzJJg1uEuCHKQTXy1PEvQAZz5qPtftkfb3fQp8yKeFrZ3ZyS0DnF2T
ePd+czwxk79s6XBIPl9XOePHcMJaaO4MeXM/3AWhjVyLx4KQFF9FbUirBFOI5DP9e0K9o/BydOZc
TrQFyTUyYUCriNZ1cbDJFTgXBw4bvQfr4cU45BNOwsTA7vTVxY2/eUXs4tvEsq9cERGFnzkJCI7n
0HBFjnfxHxfU+mLBuHxBYKpoV495GGcofShVyO2G81kuefYousIjam/rb/Qrnr5t8ITygh6Nc/EI
es3N0j1CJL4pI+ECq8sI4szmjO1I9zvLe/DLjtwBhw/3MzmYcJy/Cc3AnCnogzbJxK2btjPFfocZ
h2T3PuZ5NBlUPFfob8zsqpDvyXOiLWS6TthYYCNYwEVER2fcJb6MB1K5RmucLCabfG13f++xn0Pq
tI+xdmrar0HdGzuF4NKdE9EH6D70zVN/K7AsKLdzQYcLL2X/gDTbk0Rwx/D/0PRJ3eF4ADj92fNs
8LY6ReCVfoPFZGOBKHiChOLH4d36zLHWVzS6aiip5AN4Dg76rwe6QfIga3JCnl6LjakiBxZuQ+xu
Hgvr7ID1+eal7zENYv/77rJ9pxCc6WrmrsRGD4q7IgkFMQucLGTMcrZHjBh9KtI1X3XHVHcrVr07
HJzzg0Bn4dxCeEvvbwFBWAFvwaMzd7p11p9v6UG8ib+rYe98lNCizvosLdbMf0wkXOVRn2Um0X8B
Ic881iuCUOXMS8YLDySIuKsPe1sBbwFYyr0kp3HEdEU2RnbqPRQua7dzS7KB+xWj9oh4XZiLwTP0
jwAa9v3HWSq9R4ASK6m8dKpUE45oyL3k+5e17hysyHbquD+0bdmxrwgNmCKLCFdIvO4LpHHZqNd9
rTxhhMqVueQII5YwjfiDMscbq/QfXT/GY1sqc9kiSAV7l4oLKg8nNk7DwhYDildSSfnanlEE6F/G
CNq0v9NOFKBXzlRo1dKzXb6VeTsyHke8tczAYqIL0HbuSmsBAjLFldML95g0eJdPpOX1tcGFvYIC
+dH5WXhWAVZEGyxdPJMFj8D0uu7KaEpHobfgY0oAtoqrF2Y7fijoUniKLxg94SUyRu6uCdOY9MSg
bpCg+EzhKGrsohBN9wsZkEzicZewql20UfzVvOuiAyaU7CVzEVJ2dWlq8myVDKLeMdwUBF29dI8D
3/BlrAoyStwMROVG48ElPs9ezHEWUXYGQXEHIctBpQ7bzFPVEb07gZEnshGyYUfreNeIqFEYwmZF
ZK8QEDffpCPQsL6CAuI4iOpB/P6Wtukq4yPRisxZ1FhEVsBuX8le9smnTdca35iNbwXFwkBiMVNH
AonBkcn7joOX1bifIVLm1AnwGA5JBFqHKWRw95GGBWyxcBtVb8lsmNwCbF7XU3kWeQeCCmL86EqK
lEUgP27q46dzE7/i44ioRWpKUtOL3TGas6FdQ5ue0yr1tQaQyOJLmBlvLyG7aRRq3aTXpzfyp5sF
gvYnLLRxv3gCslQpasBQQPGZ4EyiMf5ld4mbGmtaMdVGL8QssFSoELFHlVD1GTvyllaDrwN9031k
xjDfkLdPgFx7otA75BjNiEta6XxC59PJx28UVcEfYQ4Kx0z2BXfVCKyAKCWXYCT8nxRSeCcijU9A
4OCdzUSwEPlvInbKU/lBOaizQ+S+47EehcfOV4DiPRcVI8n7FDdp5/OzYQiIX9lKfDse/oBsN5fP
uIUnWGUDNUB2Gfpyw/jiZ9ZeJcoKGh2jXzguUpDPNULcUFX7OvlGN/LiqVJKoH9TPqp4FF4JsqYU
vZMx1Y8KbfTO374KnN8ip+B5XBWjBekVG6Gp4S8wphgPkHygN3jiyeX4xEYoshi6j4jiyJtCAJzS
HTZm3HOXPfMUMhba6YPp8rQW0bNT8ETAU/AYtguuTjoTBWkYOBXGEthVETedQrMKecvecJ/zXAyI
JW+C3sRsAvdhWx2edUDb/qEd8OvxAjyEQxsszlQFk/OAhcjKNiqWjnfx67k1bWVS1UkSiPcMsOeW
JwX6VjxrZAaCSYScJIWTUp/K6bJ9p2WRvNSndJJMQtcPPzN7Iug09106KYHvuf1YVVYVdNPvDvZz
wPUvoGHHaPV0Sx6cPSlV96UhGBve2lqdDNM89jMHrpc0fhybcGvMuLe36SvtmCpIMbATjLAm5Qeg
UIPi5HMwJ/fvUoReyOc4BKrK/Kgnndsvy4NeLlWuIgPHLmP4aoo9n6eFe/haMhhnPEBeJC59cG67
28Yig8OZyQt58VhZx8cumSfzfsXdxxIX2EEyUeNRFbvZJx5137lNbs7Upnoz8RZFcJo3Z/2MW/au
jvODNAAzj30RZyPyRoZRsSo33adNuNFlxFh+xPV7p5/vIXX1ThCB9tW4cq+wjXa8pXJ3uhP8I/BS
kyggV9y3yOZh2zUmqsNjlDxrFopHp+3JKnFzo28gAtAFZCY8YCpXF7JFskW8EHFQjI5eC2bMgGeJ
HFlO5Y3jixiZGbtkRm55NdVS70fChd8R8WNPw8avgCmRd9G9StcnYTrWG9Ltwb11cxV1MBvKzwTh
joDUj/KzslKZ+gjAoLq5T/IPeHktuxVmKNhATO+OBkJZPIi7UcHhQrldFBMBNe5Bf4IALlgMAruc
5sTnLOEsrCpMQFhcRCaMr5MNVFwvHxbuD2TCcPEQr5mLlvbzqCaLyRnrQb+kpUhuygBiGK/3IvUL
F6O2McXgAuBK5F49ubmm8EmGnz9cbQzUABxCtIKjNLOdpUbcGOla+hjWngshAzW4V0wsPwT4xsQP
2xHMt5A/ib3xuDG/mzYrh/0iKVRMu6xwqQLeq71T+YN7xZWxdaJlt+DNdI7aHboDPL8Q7YPmyE9m
mIiG9tqT3bsuQVBfY3bqHKu7IFG3LEJ0y/e3+3og3I+9DXnZ7GqvCg8E7a5nTzDljuQJiwMRWZWb
eVmgsj7AMuFKfw35olBAvV6BIuAQ+ngtBIvphvUldILm6xYwsyQ80H7NEUyD6gBMTU2NJ9kqOdCy
Z6+DOIWPsT/3lFND45LsQSaLGbxJ+JXw+2Ca7BR+9YCcCB/o/fwj/wh5pwEtPMbg/8xFedbXRHsL
Lfc5O0fHCmuY9a7lGzh5Fv3JFeHuDtiAzFfpqZJbLNhhInyrEIWSwBRWRh2ElUCSMQGD6nVfiQKH
74eVlGoVBvnmeQTIzBfAQ/OEaFFIlyFFoThFBcw1NOYaumwi72u3OS0WiNmuK+hfnGVGi9NiIz7G
P+H8GQOsCEBKV5CGorsJdS3EJ3TzygCtDD+bhPCcjRzCIl5nwDQQDs4MRjng3ecVpzYxZuDsJh6C
aGdrlQBT4IkyG5LZdbJyVOJt6Otilf1BoRKJQOQERM8R7jwYhxAOZyJ4HLv04UbaTwXxZcuLHpGk
uCHjgifDeUnnX5LGVfGYPEYmRzYIaD27NHQioPkA7P8AZ4nUJz0g9alpAufpa/xDGvOoRTiZyHnj
yREFgc2ZpwyuvhdBUy0hNZDThOZ/4rAr982A+iYbNNP4OPW5OuZTzWeIP2f6ensdFhnnxWHPnyLH
zBijDyQ1Z4YxCCzhdKHMLh/tQg5Ye7giYJMLlGNOTpvBHJ6vXkhbXmWHi1U8TlIcWjgPgYbqXDzU
nrssXml59PLKpiV+E4DVm6/7SJRYrrHHicjGD4J2LNdYkrgzqeaWr67ldUxgIDjxKaRNHpEGkpOw
o3ENasyY3Q4EroEPs3h3gwogxBy7ezS6sgwIqp3zRqQI7wVelkBDbBVBd3jNXpuVwrPSwz2fFkeT
1hWgxNGrNst5jcy1iANSeQblz5L329OVtnghKRVPpskMauFVVu7rBzhc3hc4pig6FBlm5EOxbIY1
O0ymLQ4V1CWwlEeYrC8QXmvM2IS+BQ14Uus+kzhUwTg/OC+6gvpcSDF5d/EqRlfxZJP9O+UNx8hj
gYihJDFNZC5Ys5btKl8UTkUAIMA+FEm1n5VLDkucZkLIfB3mgR9/Ja5tDHZz1m+dFwoEIesF2s5s
WbCM2sSyj4aTNJU2MKxfGVpLyTEpX1pjLMGByXfDXNrsayDO58eZHkYFMLma0KDUupONtorxIMQ+
BlROjqaZtM19XmkBwenpgmBy8p6gNSUnlUtH76cXhzPRsMrA2DCCwv9wO4Y1m4rpZWnt9aGnvWBY
06I4NLqv1HRZmjIYEs/shO6sECfSC4BcjRfysdTUq3Tb1mgHyF4u7+PseqdEaoCRWl85g9pwym1C
SIkCeYM+xeBf+gVmv3Zezwe2gvdik1+7nr4JyfS0ByLDrzH+C1ugDOZB9+ydTNCzNEljwKGupcP8
IRTRWOq5BwiEk2Q4ZH6ouMbU3DmfBsP892hpr4jTsHf2aij8J4UADqGxVJQ5TwxCL/I1po3HSVIF
RrAonhvI2OfbkfTf/DNOqEUtujbEFnR9M+TStk/zCMeCyLamPXx31vyJtnqmNeMbpiHW3G5eX/wb
CSwZXonK48wq5cukGZtloL5125DNNzdpwNoQvw3PaXkpJvUM1SGUjZvlGfWMV1HXA0xFl2Uf6HC6
rHUfLO0t/KzkIH5Fm2ZhzrIV/RlqHAPEjb2E7nyO+pyfqWC+uvTrvp5l3/absVdxSaXdvoNtyGKG
HRFwNf2pEuF6O6tCbyB98YmggzwD//GqfGqfwFhymjIHZ6GuCl7nzqUGclVOLlxgYHJpuF8deW6D
1HQO+enej9u2Hmmb56tuzFSGyHda3HG8vuuebF0IVWNC+F4CxcXcvMW+mTwmdAOlhbKRd+ruglnG
lXdSIK+wdNKed8N3cT1xsGoJ7PY8DJPOQd31r/lEhD/AiAisReFVsBlDV/GjebVr6LxB1EDqAaVx
Fc27Q4TvfyMvVs9rfXBmyrE8cHvWrFhdzt1CRkPCQSin04JM5lJ5Q7W0LqvaeX+9ZSwdVFk2nFo6
G1RmIN8pYnp5paSzwiZQBvGpAibLmqMBcaaDenP5HlUiOBM6icSmK/KH+GqA8frueA9zt0AEkXXw
zUam2opjK7MGa56WG0WewDRBs8M9yA/NVQKd9PQFAdSg3N2v8MToBEGVioTjVpxOSAODyti7XJj8
LCCjztYhh+7/knde2a2jWXSeigdgrIUcHo1AgjlJJKUXLIkSAYIBGQT45Dl4FB6HZ+KR+Pt1q/uG
qm77PvRDu+uqJIoBDCL/cM7e304I8ImIoBQYUsG+NRiMbvNiRDYdY/5lfTN5UgKNwjYWW8+TPCiY
FSmVDTA5wdQi7Q7B1IKFUeKre4V05HEt7dCgTrtzGOF5MFHKsI9Et8r9WEMDVS9QqiusXgIxiR7C
vACRsgmjtUUU4/Sl7wfJY3GN8bQKWqS07I7sApI5CZMJN7OGGc9n4ayYCqRVwyLy9OSsMKMN8y02
hzdxjrBLAZPIt/y7+t2R3dVerkm5vNujG7lDhxuXKOBUMWFsWdxdtjWjbrM/9wMkVLe7r5Z7FScz
2iHPeWUIBkW5SLdNqHn6yhgZy2oHCiJ2KG2xwgeKCvNzZ54WWQ0D+bGvYESkw2pnLQG3zBCZdiDT
AjMQhJKMaiV7AS/Olf94ibyK2lKlCYrA5v/WYn073SBA/jcarQL36H7SbG2bv+q3/nzE790SxOjk
MCiqZmgGPdcfZaG0Q0B5ypbypfGhkfG9XUK7lTwGkyvI4tY/CuY5R8cURgv3CyH5W+0SWyBu/tRx
/f7QzV87rnGVt6pxggwuMd828cusu9Ol69+KzAqv0FlIfhpr6tJIhnfHK2677L7WbQxc04pE7HfY
wwOkKvYEcXppdi7i7pVDC6OB9Y9XkQX4utCwq+vkzRCNTeDApPTPx+uxSrx6rw4xVLL5HTU0GA+U
V6mzslRgkimODjBzxZWZclUXNyvorEBzKN4l4jzwyVb+9DhdveZ4K/2TuX/YLN2B9VNJF8J2qART
EMoLSXiMwUlnGu496owmrVRUCNXx5Dzm9wu1nOQ6lLHh3qm9wmlJjEqcxHrMvaCEQOOuUGzCY8XG
C2jeloWKGi1puzIxPhzxaAvWYpjm5SHnWJM7aGfXkTztLqGixLOJanILwU+5zq7oJnUWBKP0KBHQ
Q8UCRVEyOgd2Pig6usOIa/HKZdfPiFoF0F2a0mjnyYHJLawJuyJFYtOzKFBL2ts6YAXklGMpHYMJ
hJPvqQ/lnfGCUo2tHyR7rlqI1IMHOw6tWMb31Vks+cSqj5LvYyblRFjns1NP/tdO3+nvmLju6LWs
yCGQF9PzOTDxUr1bNKQrGtPOA0mU9GTQrnZoW+fZsqoCk1fGISyC3kZ+D1N5lmi3sKPpbVWXuZIu
73d5bHSmr7A1aSjumrTKe1rmHa1z0mWuGzO8FxuFtrpKR6QrnvtdO2/noszSLI1nFRjUyhBoHJK2
PY35ZWFP8rGoI/Hn9SjNNIQmM5XOq5fOU54J+lGKrfVYmLBHGu9xx5BrrtGKBQUKgXJ2U2a8Gmd2
7C2KpA6Uvg2QL8AvcFYn2adEKs9V904KOpi6RMW0PkkT66R6Mp3pR+uxFGKm1RYASIqwZdtnKLdn
mfXnWQYOxapA3f2nN6kNTSWABiSOrGsiK+wfa1t2n1V9zWhU/1kv+csxvg+1hg1lwXSgC6hfAscf
bUkkXMrK34UvPw21joG+8gt1gJYS6M4PnWlLVw2606othu7fErcAYvzzUPvD06dTzuU/iFuupVV1
Z9NORlIZ3pLn+kXJ3Xxa+7SZRrcpXSY+TCRbNiFzOu2kKpubysxKAo09nncnRSB3kytgxFF+J75G
p504YUTsLf+af6jZXCue2NeU1Pu63b4hUfMylqm1UEOiwbzSgQPgGz3SvTyxXaC8Y7ADItGJPjC1
2mdS/q5vDI4n0aVkfKG0ZntgX9gvjsuTi8CeGB17dX5LKKvGs+SJSzjzNO9omLKhpB1MwZy9CEKa
gLsdE2YRnl7TDUZ4bIJfv53peV9n+FuvnzYTB4J0pHpY5knj2bcHh3YABW/6kfeXtYX7cMzXGTo+
iHRtRM+RplA80+1tpBHOsYpOEzN35dPSyALsh639cjstbB7P4/06Ez0uoCpTNXev7Shd5BSOSRsk
95h1KxJ0OrwZoT7hFYysRaf5gR8IE9CkUwEIEq47UOowzSj5rHV53+ybYT9LgQlvWnoEsggOyakx
BrewZUtfOxP6hes8jJ6AH0kAl6pFwxRIgVDGQHEdK6Acpgqdadz17IPcop1Fo5zg+54iwe2tmLbn
HStdtQql+3MPxPKTII6zLWioRQMXSRBTKWv1A5FCIeFkr8I8m8CpQcdOtFrnE3qsEujuok2PDlTU
28bHeu2ElXyfqaVPmb+UAlVePi5g5bsCWC7aSrHEdvwHbWJ82va85ZXwH/Xicru6cbkq6UWjvCSy
eVLsgJl2Q/h8JU4Gy48hz3BDkhjIaewO2Jwq7F0R1ScfYCEknZpDVe+knFXvbM0gnVb2k+iljppt
Zk+lHLn/gpIsbQN7y1Edbb7CxxRCBX3mRVmaa3N93RkjaYDz3U2pD5iBbBFyZiyjQPxf3D/Olae9
EGAZVsghXWkw+U8fd3VH02wNmxF6GIGN/8fj7pcn9H/9zzf8c9Wfx95fj/N97EUeaGD6BHCj6ISO
/bjMxflpgFqHTiMUOVz0fZmLTB3NkqwiI2cxzAP7PvaamEUZy4WbU9XwmP5G9jDKpL8Ye2VWUJqF
Z1TBBvXz2JtK5knvYni1CdVIFDzlLDdqz4JlCSM31l+66NwgoBHVaCrdsRPErY0yWPIlokNUCrCy
RMw2ebN2NLzfXZ0kChoemXM00C1UuRYWDoAPyluoB/hY1TeqAtqr5lyoS1peSiHCqajmkBNIIfyy
c4BY1JMLhfyhigMDQ1BeIhUBvaKiPWoij/a00k3v0ZF9PT35FBYGnyMoJXSviwZnUnO8nugH6XPI
13ynh98CcjpnUw5K6x893hokrN0+caFMK1RmMBqyoKvITKmsEEGzw3KYbPGOktema58F+Fnu3JZz
8TSRuV6no3M8PBN3RkvpMZceo8JYw+RK5kk2Me1n/SDva5llF71MG00245H+YS+4hlMOuDYEaUqN
JhKNcgRx+SV+yo1B+sb1pGgnagN9hCj9I07e9IPgkBD7ZlCDJ26oSsY1wFcTSJlkJRgmwZa1UqiM
kqE1qnbps71OPxOgVIwFO26QgtyiABzgR/WqCeGVI2M/K94ZnIqdWUVhLMHBglLjJsrCwBVzkTFq
InFpRoY0t5ldQ2biBqvpowDZKOPTAffDHKyWPFRGTAsFRslieaPkr5Ec6LjKEpSmun9N7m53I/gT
RQJWq2WS30AWQdiiueYykRUM3gqxJ5RuYW8900ZH1zHKJufdKfN75sDXGf1nioslf9n/9CEMHyTJ
CeQHwI+CRfVPhrDp23/ZvP2VKPrXQ3wfvQxI1rhpdITXQhj94+iF6tnAo2nDb/wWpvh99NJBRbLk
NP92yffBC7+ODalR04TnhpjF3xi8vtbFP+zR/4CMCqyXRlzun8netm7FzQ3C06i8pk/O5iH1ZIlX
96fqWLK1NQz0dg7KoBQ7MnbvQ0XbgRoX+rbWvTxdnshnK9wZAXLn0RWFch0ggjo5ucePiIxTBVEi
mj5p0tNiQ6ohesnp0iA8AW0atOZkqTjQ/B63QK7fE/IB31QgQGXzlIPJc4DQc08a0rN0eT6Tx3dK
wk7Y/07rnoBwqCDjiFZLmlXDW6zMskTs6TDplOQAwsAaR7d5pTydCk8mweqaLdMY2HpZgA+3FmpN
6Nqq1pW5g4ktjkdoK5BoX+AoTXKMbhmed+F7s19yTHC3nekLSTIGdDd9t5ptL0861DmUirE1xvD5
rCcdU12EjwYnfob/e30+D2GLXM9L/CgZwby3diljzSvuhJ/xm1aHjTKw5mYfjWOsdP4nsV34JLyW
Fj4ixLinThoqfjTmtbsH9zlL9TOh8/n9Q4d3zp0UdM3lIV9kthX0sLR4eB2exhe8Sddx0zFIhHX/
mdZevslWlXdZPHbdzlmb2g6IIwHdDFQ6kUP6op7E6FWN3oOYcyM3lvyr2QUbvRXCitLZl9ob1BAP
KrK3R+fFosEDqFKloGWPzjOmkHrHrv00c7xLRJ/xrH6Szkb81iqJluaGlpIOX793l5n2kRgD3aGw
S7WWfpJEL7IO5EWrjjkFCbt3L28v/Ib4xLodqTYAoaZ7Sq4urYMRRZwNzbz+oEuDAkyNS7ukq0n0
9a1ZQ1oBtYcMbBrgFxGCi+Yc7DQaryDlMc5qAjfQDZHS9wlN6kHnR+K4ye2z4T3+0C6TTD8PC9Qm
dbpjGX+S547l12/xslF9lFhPxTnAYGsMLzTDcvZQxyZZg67Cm6qCM4zf7EX6htcXjb5p86RYJsuj
Kyi4uNzTCtbkFWFQ6kclvZYBKofLUO6J0EuNt5MKhkAZqhh8azr1LpEBU4phvkxi0pguiy+L1Nyg
9ohPDrRnqiWJMzFb4W81J9kiXeXauPer623W3pCeoY3TjdDpvN7QA1uZV90W3pWE4yfGLdMQIXg+
WBdahQpKTY+v+tV5pF6KmwukikMAgQ2bOzgPtDveXD7OFKSUyLW7zq9nxUKWvEeM5osWOoGcak8O
RZEOzOuT2kzO9mNr2tiO6KUWuAYeK+1uBb8/9fx/Rg0AJKLLlmMzEQDk+mdzzzqrvrLV//d//x9M
Q8vP+kT1ePlWl6c/14x/PeoP05FY9P7NwilWzN8l9qaqGEwDKulFosrx42KaRTZ+TACQTDkCv/J9
OjJUw2SBjfTeopJh/s50xKP4i7W0arNkVyhPY/wUl/9Qx4ijqHqYzuU0um7tdDdDDX0ZMVvU1d5e
FXnqIgijLnEZ1bgdF2UVZMdk2hPMbvrm69acJfSIQv0SnObYmPfRbaxtlMY9vWeibTy4NoMbhpbC
Lw+sVDtl+jgPwGgoi/u4zWcYlwGMx8pQH96mxuKSrKElyldUedKGT8XKBntImhxokG5SbKllYCFl
YL6NhMo7eoQ2e1pVGZrD4s1OR2Y6yhRMgHwg0GgPLzlBaYNrNAcfgHAQ0bbWePKRk7JnD+/nsGTR
nE6pi+TTbNvIs5ywYhIIe2LgRL9WOWiKTxmn3YvC8GOZRUucmBqlcGYFisQBS9iFTLAj8zHAcERk
pCNaHvJDltiAScILFY4eygzSVaawYTKL160fr2VrUJ4lV6+OECWZrkMlWVrakjWqhWz3NpbXzJm8
bsoo52pSfMgRfJ/8Rg1V86lblkg/r4Nsbh+ZndjxoKJu1KGJmnjbIrHsyV1Ei5fgSpykLRscmFoe
HoPaQc7kV7yusGLoB/KyOt5tOROKznZUza3BvXK7EQpM1wEOPb293F6cgYK0k/Ddyq2X19KztzWB
cVwkXSEla9OCUg0yto9UcyXWJiCeR9XM3upBCaB5fQ7hz19Jonw3hD70HD5GJlLOcmzA7cSSH00b
UpvLaZZ7TTQtYYTVpEAx49OSnSfUgrZgrIc9i4w57ivKv8j7bbIQhDIcYweicxrTSPT3JgmTF9fp
d+l1wN9CWzUoh0ig6PyK9RH6SZSYJKegN5pflKXUEx1BzLKQw5aTPg10ihYKGzgppnuvDyPnqCNU
EyTmNkT7N8RO66hsYwgvytYSf5pPsNQ4XyMfMHxIamsowj/vkossi6ksGwNv9kgEkCz8khOEc3E6
z/tHIGfPWVmQFTX+ulhfft079axCF7k6QWIjNKBgh2Raifgz+WfcutGT+lJ1QwZ1h76Cm7NiY2WE
3Js0C9/paHCjBECj3DbrE/pE540t0iGd94jogWiXh2wiTeGuzh+iX+LfKI9jX14rMIkKqJcRnRcv
l8OrEaCUBM9BI5iLsvyFNNgnSUUP7dRT3XlOL7sgoRmNI5dCFbU3o9iiidGekvUpX1TOMEfl7Dyz
uQLcxkzejDmGjGaPuhjtZmBh2TGrRnGDaq7ecqTrE98et6G5jw7XckZ8BokU2PzEod5I0pBQOjzm
nIeUzkFWCNdpbyORpf5lykvjsaimIB6kMTkh0UHjMaODItd7XG+5zWX+jbsgEwv5dZqjvlzQX1WD
+3mKhJMvk3aB7nE9ZxgdaCRcn5SjVE9pZrSogowAXgQtB+m8yy6v7LYdSM8QvyvKeNYNRavPU+Fy
sjK4YiRkVnk1oBDHq6rvuYwkI770jtTskO9odHlGXJV+BTfjoZKokY2iAwmtIiAyXd/mOjILxFrW
0Ra5SsOG9x5iYNRkxVP7loSR64xZ3j9UwR0RfBLkA4PcRcaEnNOmmNioLn9H/jyEpDTatEe3ok1P
S17A9LqxKShiuT7WQfJGieC+79m7l1vFRqwxtvLl+YnHVIFdH5zYIqyVowhhrLd3bP2DK1J6FBqr
4n7I9CEp7s4T7gNiymMXY6PxIrjVdLJZOt4+AV/I7+B6xbtIxAjnr6gY+Vd7IqiWABTk8BdIIety
ngyrDCTi4oNAFDUb8ynUs7GtY79G33kDkUFMp/T0+2uZ/wd38b9TeoKh4cGj6WwAQRIhUf+4FBi+
XfOq/nz7+IsWzM/H+L5yER4/h1WIJVoprEF+WLgYgI5MmZb7l/f4x4ULSxkRiGgZ5Cv8EqDAplcE
Lph/VA9/Z+VCme8vVi7fn72qsXr6ceWidHVupJf0RF/U6x8jSRqwUDkzYF7outLzGxMoiGTLUbcs
JPKpdmBfWhyNDa3ShtWJYoBlgegFnD/Gr7PVNlIN8zlgfVKmr3do0fEbrDEWOrd8ZlAhvE202NcQ
AlPwb3d39JrnVQnf5rTQMOmQ5jxsCTVid2fFRHZN2pvilbHhZ6SVTK+eDazdIFCMOt6VMlrtsEgw
lph2bua4RtF1TNvPRz0vz+RxA017Magrjh10amJk1KZtikFBG/Vs3lOSlCZkSZtTY02ZK28G+Tt9
5Af2n1l3nTunzambK/WH8dzAzJiYa+nDXle3kR1Yo2IHFfq5mKh4iIgvS57NelmFRyfG9lVNamqR
FPI7iw722f+XfPb+jYgx5HPaNCeJS9M1mQ/HP/7oTU7l+fJ2+/Mn79dDfP/kkZ5Ja1XnO7xg+acS
FhAxPkO46m3btIQh9ocSFp8t2GMUskwba/+PmwacxBDNVEejzMWn+bc+eor1F589FTwatTSNz79p
/rJrqJKiidU8SUfO6bWJGp8f5/PGQISehobC54866K0TX47TBReVySlGyu2gYO8GbBBQClIvaWYE
MZUsxPbSgAIrX2gC9VnZDdrn7pNSzuA8MHeely2ugwRRhlueXWGO6vgE00T1UJvQZGwH9d6e2bN6
z+9376bBp0KrIsPj8MvNxUfxMrkNrN1TneCpuD/TKBxbO7BVtPwnaAHCbo8qxRACkfgNujkKldUN
Sns0I8Ftby2MxY28TqLdaHqZq+6z+wyRDC+6z011g0+NBB9rVxESQTl4I0hj/iFYGwYrejNQNvU+
HYUmmPTAw+g49WzPmgp3a4RS+YM0Ll8ZVN771TU2p/mrHPTjepRMDVde26+XEYgpXLz2sHm+jp3d
Oeg/F9ZuUbw67xqra+f9Or4NspXiOu98YdIiqRidaaC4pfWs9eB0aIcWg6MkCTw+FXm+o/UNqZH4
J1a8d7DNdeOhivGpPHYDxDXmStrwOqDCAcZCb7Hx9myKblMcjcTHOUJB00xYN4FY90J0xCv+D/sd
mLfhaQPHIWQFcJQwE3TibMk/9rW4V9BYItIjoTF4mxG7faaURIGEMzaAU2Y8tHhw2qxus7MNEkKi
AjhAt1Mde0LRXaHf4QcP4cImlVN8ESmLp0KcYlDHdskZhM+BnuZBs19DboS+RzxoFnGAT0o0rqIq
eQ2kDZxgsEBxgLKIL/a7e66kD4VCCIevJvIKOMET5WxeB/RF5ooHw9Y0vmzU26Tq6QS5iGnNm3/C
eUSgHkY+B8WoOqtf6Om48qt5FlfQ//b9dqAS9sevnCj4c//8a/TpfzuHoxWw48Y6XZjuj1tweHW2
zdheYuxR3Ohzy3W5dHtmMSq+boctd/Xta3s78KDkV5EhyEOJPrl6zYacZxc8NpzHKW6SXth8IhPe
8li2PPgs4JiA9Nh/eVwW77JAfoUKrZlkmgQ3XVBCL7zLC1ch9ZUT9MyGj/cKrQ1vYXSMpGZ6D7sW
FHzLJkumYOm+B5YPz1lQnW2U0YMHSEz4+C6pRTgV0SxjefKA7sdJyO8gpJPNA6jcffQARHSesNu4
GIvHpAsfJMDGkp+BiAYOPcrsIK0nAKXj+4xUOy9GG0YuENOny8VgioAHcRp+EVIwvjj9oLD5dfrv
31PbJR2AK3POE6eg+ieo5H0I1Wd/8Pfbfru+OBreRDBHXzcRV0cJNvh2a/F0KD5KXloECY9XHPbr
vkQZmufb/fEdlBG+GNbhCFOFGpXUDASu6p44xzebdqCr7v8QrVKP5PPITgB17PfTCAeo0gq3G4G0
7pRN3pSfL1yPEia4dQLMxcHybYtyVtyBNRSC3WihjZM5tyymDw++bOYBmL0NNSw6B+Z7eqOutQJT
iNMKNjQ/OIM/sDAogYdufH50PcpWmf2laxku33cYDzAlvdUBNxg3mHTshTFM3/DzHHcc06VtOOUI
4kY79YA6l8/Pot+XNuQXN/RD8d/k6zvfvv0arr6f/HbJH+d/+8X7+bw/fuVMjxFGzsIcIwVWj/tg
p0eMX8KIpQg/1n0gza5TisjbDgshnxUWhyd3Vx/R/G+wi02F3+OybXz5MP12GUalN8GVFLn04sJ+
z9P4uvDrlvJB3JLmy/Q82jFMCRcvQY+UlfjDgjwY881Ab8yPb1d8YAP6OgLnBOWRAPqtQE+JQye8
gnde4uRtx4Vfh+/34r7PI21Iyd4XRzc5HI+MD4OQIAfyQTwlohzFs5Nm90G0+XpK4tYBZ2Ev5aGb
iwDr20joub899r/f82V7H4gn2O/Fhdyoin15o82MQHm9uNf9oV9gK5xZnouxTt644lesxPPCv+6H
1Qsi6MnSeQ6oLvB+Sea81ZgEebP0iMijhXDJ4MJsyRXWD3ghjqQLu+LdytW9fhAteLtSntkXU20s
NNoWb+bHMXjJ31B4r7WxMRbGKGx2szagzSxCNnl38iQJEG/cnTQrsVeXxwpPIz2aAW2SMaa6xY6/
4cV17/ypAlKj3ClP2pUPICY5/pSHd2WiaF2cSlPIoE+P3p2+lIz2Pb6mm4GryN658qK4U8S5xC/G
nHw1PNt3N5HhaJofnFLZKmiuDMFM9jJqLwxvWH9SnJ8lAdAP/GnVIT2yzycosR1HJZTSczEGm5/3
rsmEzETRu/iBFdnVIjFinjvXoqKgCySaAHzS4ENBhLiH6wuGiKsvDLBbN7/7tN+//V93rpZ5l3HJ
NEdPjoG89QsGa5SMtVe+Pj7LV/v9b/9H7/Y7nltg7RJvudkd9jv/dBRNX1fsGXHCB5vuNct+YNru
fUxV8zJbRXMmY3rhrrmjP85BWHCtuAtxZHnVJK52ZhPkcmg8CmffLgLUwABsXa97voylGGtOzmLt
X7J5+H/rU/w7bTHoASCXIReRzf0/Ffq4n2+H7IbS+fPyF9uMXw7zwzbjp13GT60JoXRHSskWR9XV
X7YZ4I/1H4Hx33sTyNnBIluqrqiKDFvsN1rlaDr/YodPqYDaA2pPhXbNzzt8XpRbJ/fdiV0G5LkG
BF3hDZLrk2l6fBWYJG+g6hKQdRnprq4WSu82YAHjrQBspwC4s6HU8l5dPdQAXtaIPu8cRYzKCrcZ
GgDyZDh54PI6sHn5Rs9ldhb1PEV2LRlO0GjLAyHKJNKUgwpfcmS+KyAArSF4CC235meM397N5nNw
JSAPybYpmYOWlHGn9Z2UTq4HYPwcbW+RysPNBo8+FoSIaU/n15OJxW3REFGfeE2x+qBJp84J1JUW
KISSA+1xz9wkW3AVzYGGbhMHObXeaUcLxkY/ZL3G0mtNDvcF1ec98zRl3NIutoubp9KbgEBRnmi1
+LYoXJKihfBJx/NzNOh48tnGX/OAvxuY0iq+EoTV3kYIuyXgEeMyol2qpYQQC1XUc2LsnRzhHylX
AYPvpB4+iuz5FGFHqjbdsxpmm0cS6huiuhD5TJJTmDoiLD4oNka3UnBfOh47JGGfk83Bo12c04H8
eDxvT3U2fKCaTCPszGd9qkc6G4PVuULheC+VkQ7do6dOUTvHiDavjhbWpH9fSofEgPARJ7u2pP0i
q5a3de7yQrHYwTjr5CId/yWDz7/RsCIy50zCiBTkJ/9cfIOLs327/Lli+MsBvg8osMI0lIPIb0Tf
krLA95IhyXOABdETKvAAfxlQCKSjZEh4naZTUvypboGikIIiNHPoX/pv1S0oQ/7VgEI5BaguREJH
PL4fS4bXFiudfa5OI/2kDG2n9eK23VzlbqSfUSTHtFjuWekpESw94/2eOjH9tUdYXfxLL+rzUDYq
w5nda2QpTjls2FV0xulVDEQS/beoHfULbVZBa/k0JvHk81NCvecCsVFCM4gc35yjZwO+8oSvw4WR
c/eaK51TChHsvKWtkfv9JRvqD/hNS3VZxG4+uABGcSU2MEAyzF18wrqAx1ANtElOIUB8v3N/FDyc
9MU0NqbgzXY4g5vJzQhvzeRiAOkjCHLsvBdQQPMR6pT+WdOfH/3npWcvdgnusdeQLkTTStRM+HIo
tOACLFxIvA1bqUm6wDGObR18yaqrx/yU1KnERTZqwZathWQPUwTPiFlGefFkqk9y71rQWo4lNlou
yR6LsiELlBTLIM7nNU7oAhK3OZHlmXrZGAcVJ1B/IZwoASDGcmSgAxFYqBjcdxgBHyhnciLFUlzm
beSZ2fSBd/RK4l81rKR1qz7bcImSwfkZKFJZeTh4yzoa1TLuzhEsIXBJmRRW6dAhyxUCI3XVUPK6
8UmbRtDftLu5bh5ztmUFmHRMjDLVVJZhmjCYS7Ok8DJcSRKTBs/G7HYyLZxRTl03Bi4xZHXLLe+8
PfBl7o327TqSHosHyCGsOkdznz3R+EnXjGpOGweKM79t+2StgxbLY3ouLQvJe5ZNz/3uTnEX7yKq
HFa9JVeOcNKWfnoZPy4zOQ6leZvQEptUyQfe8VofE55LuxHUf+J3xqx65LB2Jwhabf5YLUhZMhX9
80yad37DvlyzV1AYcQIEbMebmA29OTM0yBDpSIZoZQzMu+ol+NmVoA2lgB/20rJczXilvOJCTKLG
fR1yV/g004FSIhI4K1wC93l2nckvAKpEf1QdsAFGd6+E5aKp3qsAZt8pGUZE2lFasVdaRRHQwmP1
AN0+aGZ9NgNshti+3SW0OJmUlUUhjx4jLAr09OaQNHfqq4NolwU7YWN708IMunYOCi4GAUBWx6kM
ts043GXk6M5zdnCeuxVLcyZOUgLKI/NibrHCJg0BedvcYnGLzx+E0DWwVtJ5o/QLZm/wDMdIXxMM
wIUIfKcigbCwwrhhl+hW1EUMG6lO7HGlBqbmsa9YKfPepx6JSKsE+NEyRyIqAmbCXh1nBZU7/hBf
EIN+AZ2hw5zgH1kZbKl6Dc8D3p8yVHfEPRQ1L6aHHTze3NEdo6ECqreSUCXfyx3d6ZKFCu1BIpiR
oOHxqCGzzcAOb8FFDEt0rngExuMX46UJL8P7e2KwRWBUyYmrRYv1csdj4Mmgoks76Cct8OiILcHX
YERXwL/MYtbwyBsuz2zlqT2dIeyseIVKZ9NlH8mbNEvPoageNqKQh28NLjEpYYtyJodYWsg0fDff
oQ0T1ZKEl1dWHn6YYZLfqDv40YtsY+66z+i92uB3CKkOucUbe4gS9e6tmDb3gco2Pn15GJsY7dwr
waDjnMhkdn9fNy15jwHTAjEeqKHZL8V6yHotSDG8TS6XoKXa27jtzDZGqjm0d9kgDZRPOpDVMF8V
RBygl9ikr/KO2qeVDtNPUZi8fKL0Hck7ngFl5jTArQ4UJHe/wCBkFNC+fJx9wmMul+U9fWmxneVr
UEb+mBiFMB2fFm3VQ5QQUPMEuvmZkrUF7TyGen4V+HOzUrz/inEuvlgNAhEbSbVrfuhRmChBGWpr
JAL2xxBJGZk6BnoDevC+5cH2GdI4Homkb0Adfu3udtP+wwqSd5HfbHOVFt8MNBs2pnl45pwcpo4Q
MhIbTY0TyDcpPcNPENnD64z4bj/zBDObxpSf49m8hhjw3Hp0R17R+vvec1yWfr5QxbDC83kbUAkn
jsY/zwEewoscEooIq0ugD3EYUUfVh/exPRMF4tpn6KLued2d38UN+VwOaeYSbuNuJ5bLKpibTFjh
0dmeP2/uLtMetAfuEwsPFxvuBCQBoQyZT4vdjzzDZzB2t1d0HTIkJMfdM0O6R8sXeZBH6JucTRvb
5/ENWORuIEdgmKb4PGvcj3oQb+9j/iG3d7WN+YpAsRp3aMGxuZAR4dOvhy9QhBdvQlQc/yxafxDu
PTsAVodaSR4idcfxr87MgNItL0MRGL7FP20Z++KfPlFmwq+oBeWccR0fvTyYV3jgVSQApvsGlmTq
QNIaCrTLjr8VYZ/FNF030w4rPPqFwX3EPBLxgrxctvYGrA6KhsXlrRvnMImigQlXZber/zXb53+n
FazQb+NN0Q28fqzy/nHvbfp2SE63P8v1EM79dITvS1hWh1hOTPtbo+ynPTH7Wha4tN/+1pX7sfWm
OqyKVUIkRCrzT0tYYtI0GccOWFwsM7+zJ9Z1sef9bvH+Qz5uqCpNPhmro+jK/7iEdc5JjKAZ78tN
9U8N6wikPVE7tg6QTaDokZzL59ZyoqXtzJ079JGL+Mgpw9P2wsohiAhYzlTZN5V+eLVzclv8vnAW
Sf6kCkpQG5I9MrNu2e5iEzbAZJONZf3kV/Git5GXkM1rhJ2Ntjyyp1WUzXqhNDuv8gW0idQtwM1e
p47k6894I3zTu4KWUujDNcPz+EwmQGB7p/n9CDZOsDSbY2cPTx3IHNV6q2IWTtXQnLUDu347Xz9J
iYnXvTfQdcR+6MxtsIHdALwvi8gWKR5Qz4zVFvSI3gPJea3XNLAuiY9JmU4RzR+AN802WUa43NbJ
B8FsfTQ/nzzjviucO0Tq61ArbpOox/UikoOpFiZwS6Ll6XZk7Lp4RjpVihkLqIAlfBL5kqcIVDBK
esD8AzDaJCZpC7tmxz5krflAiI5AbVgcsbo/UREzR9h8tGOzd167MRvoFLXcJHlju0/FGIrRAS0e
yvQpPDBKffLX92bQDKaRGWrRjqBdXSMDB4EXIu7iWd9SuvDUFyoYMj7TdGjNBYLI8qxXIRCjG3X3
9I8W0ZBXHHKGZoW9dSBTnMaFeLpylfPs6mTj222EozK94CZkzmFhXD/e22jSt0/QjaenWb7j4ov9
BNKAGqyxJGhIU867whrVbqRMq0FE25AKM3etgaw6TS/RUh+ZEUxh1/GsoL9NEc3dX4ifAwdn1f1I
YofTk/KDyLGAQZsRMXdG9ZYMstNSONIfmJ1KUBmSZ9jQkUIJ+Ml1314nD8uzWazB2JyKMsUD2Uba
zNswWirG7FFu6pBV/k563AbqbXNr99Am4/eKWfCMjgjjU3dyXPOpBcpIPWFbLotxM5Tem+dq1m7E
PEWc5b6JEj9SU7/n5/Xy3heQZGZ284LKHvfpTWM/mAfJhraLfmCVz0+6H7bjUt+NibP7NJnsQZgU
aPVVETNV97qf8qmET+g4m5c8/zipfssVpob6VGKamlOPzrdwRzDtqfRiC5mp/IopacQ+Is0mRfQG
HQj91+jlceRciZmoEHqqlqmbbgPvNDZlheiHnyF9DtsYoRr+hBiN36eqP3fPp9o756PcnFO0pQ/C
y2GE12ZyNcKiYX8wILxKR7y1sdMXOuodG8hsQaTFq/hO5UZliyklYWruUJxFdAHE/WQD51NZ3hdY
591O7FJzuFq3eKHCSApkP19fYIjl7mPRrxo2wlH/FSFxZ3tcs02mwNaKXbMtWbOuKQdtVA/ZbtXJ
RpFoIxAsfj88XqyP/0PemSQ5jnXZeSsyzWFG9MRAGqAlwJ5OOp0+gZHeACA6oie5o5prB7UxfYjM
soxs/iqlWVWZpLKIzIjwhs4O77177znfaVBhtuUBUfQ5Ls5asgfo81+9m6OMGi3NQCqi6sq/qkN5
aYXFP/9TWZzrP/eI/3grv+2H9HoRfyHamvwJecJWiQYFA5dOs3fspvy2H2riKHmnhyzh0xoFLL/1
iLFYTWgRq4b6Q93+t/bD6e99+L/sh+yEuiKLPAUA83+/H9YPhZ0yKzlhc3yn6uJsheA3G/8OmHjq
QTtnDq6PckXptuFzn9LOWCBBidv1fTkGi8Lze5LMOX2R/LxdDx7Wow1XTxfArVak7RS1hlqeYkCf
NXMQ9hBNMN9GFG2OmBFmySuo3ZEkjuJ4AmW9Ok++k12LsJTKAL0x0MU+du4IPfg6tp8k2uLgVB1w
1QYtaYLLz3DVn+AtFTPU30KvKr+mFCLHobloGjNT3I4ffF/IZqKPWWF2fqHMPiLlLS/6jQNwrzs1
lu6TsQ8tHPYsSifs18uYLrknqlauzTFs32xlWfQz2ZWRrcyF1O0cuNbKlvib8uHUpELX/oM7ZzI+
lc7G001mzSpflsvd1R1d/3vRXL8DuUMngmgf2U3sLyttJNw334QbMazvljTV8cNYbP3xIkE3Z+97
6fxMt/p9AREFgWjK8mHTMRwjoYJsbeTLeF2McaKzhm5T5dxSS2IJVdi9mI890hUAApnvIzDJLJjN
MZnmN1rSx5GPhNv35uGVGHsCQoD4hiRAk31MvmAmFS/iNLgBsgKdcg2tTfWRbhWe1cuYXSR9doc7
YPadptgCMIF2I0izvKHmmEDAoRUoLqJJZBE9YKoI4cBuh6dw1Dp8hbYRyfYVNUEUgFOHSP3YVcbV
0WX2tqWogIO32S44JMB0nFDe2tNFd4oAM5TnSLOE1QPYXJ4by2Qn0bSTplZ+XWVloO7q6T7h+OB0
23x7tbHKab0dGmZ920QClFv5tfPzTzYTnp5JbeuYJiok2qdRsVdN5p38dc2z2WDT+HTELqTWwHuV
G8ASGTEkktsjYT/cj6ivd7f8pT7TjkI/rXMfGuV7VFDXMH/iHSJwPjP++0GQAND6KgcZ3l5IbWUw
0Yw4XDpbD0T0H/B1pYh+nKmw30Xoup+3jXpbIWm+ySdEyU0BUCKEkgD4LRhvPXs64A3CyQa5N1+F
BDq9radQ3Na0PrbGST9lFlLFVX316gdo9E3y3F0HGPTDYeqNVDzyWWmNcFqY3956m2t8SuLfh7J6
XK3kaesvAPwMm3EIwuYI95yyqo5Jt0myN5UwWxtpMZ62uw0xY7LlKbx3Jz76KGYIy++etmshdrr3
fn/VF/GX9hY9d4a0RVDOVDjLn6aRXiSxtG4oX67W9MYpxpXbKdGAryq2bEY5+JZl+ajFLvInWjQP
1SuWmbqBEIslrh8JZVxljpS9dfObgCyUs7UzsdIVtspAujTzEkVorS9S9V3pP6Nac7EB5vo25hJA
YY68m/PpxE9f8hfGtiqz6AkQu9t7Kx8V8fz398j/s1nqX6up/29MimWMwPxhOlH+LUaY9c//C5PX
uFV2H38efPzhZn7bJbVRrWmMRuFfiryfBh/aj2RB/dfKkILyt11SMfBeTVBF6wp7ovLzLqlADGPy
wSBFVnF6/Z1dUhvj+34rGn+N95OhRsCLEMnS/sMmKVdhb0hRjk8JDz+GKBrizxtsQbztqFC40sFk
Po/qKbrbabR9Z2OTnmvSJX5EhBQ16ZcbJUhXUiCsmcphagHBTxmRFX5YLK6NNVAU6casbtwd9OxJ
uMb4UcRLuZxjsYCQ2wApVJ2Vc1aA/6lODEoR9Dzmou/rTEN/BFLeb6i72NHKzr3S5twhpsOG9QsK
hMzJ6Kvc/PKI/1vR5T8iGpv/8d/JTf+rZ4LiHm+dymR9pBb9XD7X97TR+yRN/FsLGn9KWrZOJDOl
dDbLEHJJEMfS492FwBPpc1zFN7weUxvXGHu0zDqv8jdBuqjZ02QyJOONNgxioCwldLTWvhb+A7RU
bD/Kwz3dkhCSkz7thLWrbSV+sd1uJRzZ+arYi67wMfkepx3fpCgN31f/5k+sfcxsw9eb7QNPzPQd
YQ2hIB5eNflDAvDOSMFAbOcYa+5IvC/4Dt18ui4F7ibZkeSCXkn44eHmEEQICcItOPkpXV2myx69
82BwapZU1Douj/qK0XoPfY2IQQVcrejyNBi4Vt7SVS1x+zGsGnzPZpnO3jJfhbb/qkFAN1s0skG2
rzFXm91ZGKdTVKaFMw36Begs5VsJFPp++/Ks46RDcjMaqqXg7SoBoe75L04X3MzjexA2N8nk0yNz
iPH1NjkjuzSwGK8VL94g4sxFjxfNniJKF5yO7e7WzEPk6nigqS03yUFDxy7rmLn466Zmym84beEb
u+hL37VgnPt5O5dOoU1wBGWzcnWGMQeDYAYk+nHMBPBqEeSnvNdzAnMjpl+qMqsvrfZEbbytotku
7jY5Qa6MeiLUMs/WUpcZ9MdoSUaEsBQOPT18bF60WqkiGyrIURfV9mD1RJ9Do1qtBmRIQ+wNvv5E
U8pcL8Y7Ay9O0QFmXDI+0PJfVJ8kfSfHb4m0wfwbN69KnJvhmwZQUwDpCQIU+me5r1rKRvNev4Z0
zzfF9E1tRup040uSDXKUmIjnuV5Vnyosk+mnXn9ViDijDaBcbM31awTmiOmczLFWPCnpUsdukCjk
iVjAz2CVwLU4XJdtsQjjybK5vsXhLKUrjsCZLbgD92S+qfSJpWX41VntqXWhqUqlI+/7E+BaV6PF
E9Hi9ye19VPf7q8uXpbDP61iMpYTgzXc0DT5D6vYgwU4T2NaX1yXYxAEWZhm6tWXDKpKSmrkfEov
/d59X6e4MUkwYNb6tEM26RRlZvQVfamB0vEZFcE2mZd0caJToqy70bUBqEvCxSEl63/jTou/nzn/
2rDTVJkgPJn+4I8V6SeDbZ8LQ0e2fOLfmUYw76sHOtLaNl5ICh1nSVgwF7gG17g4PsLdQFS0PkHH
+p+98kTnPy07pUdvjcUJEeU38o0YAgzvA5uFJ1qh1d0I6+XN770UoIJZqw6/tUAFoQ7wPLHeKWzw
qtMezC2X2Whst4t32eXzZG1cN8Pr+Gf3ii1zXKAMJ6RlpK1UcCr3TbyYLpF663T7Ce0wvPyV+/Cm
m+AgOfwGLEbh1rBtjYO/yTJz85MdKxEYCmLvSAOppjaEmQW5Rc2ZWmJciYQ1a8cIB4M9ZcNVe7rV
q/ZwesIWQqcs5yxAfLogPYFBCBwFXiAG82f6eU/QAj9gkf/R69Dze/qBT9qJYOWQllPP2yNBQed/
79UorZGFC8sCGTiAMQhzvewqP/jeH0Q0CQU9UqDGzf6+MkLDnxJTuyuS5aFvwmVCgK3TsUh0fpfk
8MsZSL6mGzh2WnsIadlpxUyZniLaeNXxQUtvTD8sks0jBnlhM4KHl0T77wlMh/kmLUGN1mA5MxbP
TX9iWnkvFuPiAQhJDWey/69fh6OI5KfF49fLUMeYxglNJovyD8yo/8QjELUPKcum6P87noDGE/dv
R6Dmh+ruo7w96iSK2z/883/+/3a0n4iKNsLAaP6MjaZ/PAtaftUfJCRCc5iVH/FXdo6YXJ+ThmjK
r67/ixnRH275t9O+CsaXftsEXsIoJ/pZ5gSbAQQwgIlfEhV/Pu2DbADbRrPqXzJZf+qJjZGrFALK
VIML9LdmRCgt/2qnnKDaBA8B2EGa/iHOe5L1RX6fAqfUuyBrbJZFTmjRDPTYRSHLLdv0SAwU2lfN
UhfWE4Tl6PRk7I8RiBqcMK28eMJPSAk7/OiWVxIJapf/N+p8WjAbGMD+6nQIIN/0sNJMFg6AJi7U
IBoXiYMSk3wQ0+BCfi/WY85Dw1A63ULHbXbNPWJ+S/7alRA5FRv0O80uUlIMWnOKiNh9Rm8sHA5P
3MuMTCexhRBm4sVkN7Uw7nVr/A3/CDHCyGll6vKFtYEs8ofpee46X1Wm6+5yy3Mc+gxMYfkgiXHs
UdxiIZy7bqcFtWTzU0iUreTTkAXGh4GTmzKolE8PxJic+ekT8O+II3VD66I8j/cOzQp9fWkU7CAQ
gC4ztWhCRDv5Po8lVDHgIsnX82Xko04TU2hZ2B5G1aIFOUwGWCk/YJjjHp9+TH3pHmj+16ieYTgT
gICyC/fpQnBwOOC7JDwxOx8P9w9gBgIj+xy8GDA3zvPjOH5M4xr4ypE3ChWGZ2O5xypukRhkGbCc
EevwtBxTjvT6dLDe7/aXAEPgyYRMoYWGQ391O2s07Z4DGSMj7WDjiFb4MQXyQ3eS6q7luGjmSIeY
eQFAnpfn0COxby5Y+3d8KceQ3gsn/eBd32V76XtyW9F43MslOYw2Ob3TscyBSSWQ0gO+lxk9vaQx
T278K2WDfEqfDs8yT3efLn40SGnX8u0JqYp0TqmQRrhVuxiY4Rkfwof0LXzob2MgGDBTuFiEi/Ee
bG1UAN+cS8hMrwkzwLBF/l6azvCqjfqh14sfYR8g0gP1BEYiDHKXB8+fYb4P3DjxkfRLYS4gY8KY
K8CIuzNS4lmqq61UbmjBcpzEbiYTz0fIiPV8qxcKNdRIIUl5cjh58HLyk+FrjQq9MfYDkRL1Iv3J
CuEYlpvnOoSolJhPEjBzBq9eSpgXb837nDdQnNMC4vGCc9XClczMrnmizOXPQnkteg+B3fWk4l7Y
Fcdb7z3xwRG7Btbjbk8ns0pz78D/SVyjpnBFWtxXsM6mduPR+ohk5tmpWWmBYrX+ODvkOjbFUze+
mxj5mK+ExQNzfcwZ48n4/3ey2+EVoCYkDcnR34Q33lgW9VTIhT3B3AMVNfLhYN8fXwN2GpjeLQkd
SyqZwuVffaCYm/vhuU2/+pm0H1I3m6f0Z69u/XIVx7T5Znnlfesxh+IdT9bovFg30FhzolHaF3Fe
LidfJb3mxpIc4SJMzYFbtitAWh3tBHqhtjofQ1RInV83S+MYMZNzcicNumUerCt6wMETlaBk6SRE
cSu9DwXQjuaP9+sHImPn/iLu2xe6rYt0ntnluz4b/xTnfDujc3qTuC9r21XOVSA4e9mmwx7cE0dd
TBOSklInDwaPNwvMlAvhi87TvFScURF/8ticajfsYhd2ra+77YYWBh+m5Cb9rthUq2h+3wNX5wLv
VszbrieBGJdZsde+mxWYqFnr5zuymmYyKXi8I2m2kI/HBZFAC5ZR4IwZeYpDmB+CM0JTHwRfN6vr
qdhMOUav+v1wlqzwu1o9zlz9ZhSkjjh3n0AJr6WdHYmF9fHh4jo5NMW4QEiJV7MoPYiyoIRKlmpt
JeAOJbROCIsi78HJDRxiotiJSAALkJ+JI93e9RtzUOsBnSQSwF3WAHM/gNuMkMUJjdF+tKNLS0hv
rIBJskl5TLQjBsGPyyAiKKE4TaQFljLR652qC647GS3MB63lbkFbmV7yEzywaikcPmecAzOscZor
yHtlYY2wjVODWRcQmuoPyvIGcyxd1lT1jASgqq+Sm6lwDd5MhAxBV9rVEeoWWUYYb2nCZtZ0nXZB
LtmK2xK1AFuHsSPdVjH8krlk0uU9Xj4uAtwLdXXN5mHtDc3WCL40YhhHmaUC7CJIPSRYu6E71ZdC
45kj1FOXeFMIVCVUzfGSKJh42SYIOWnnYq0hcfgNoMUmm7B4eyIKJsYM3p0Xhou0IjsYsAezX3RQ
XyJ2TURhzVZ8OUQkJbUeioVZvI3cCnVktw4bcw5ymE48D1je3p70BNTC4xlbMnHAFAYxeU3qluFb
5ylv6eQj9MGOdLeTsJSp7rsvZmAF1qzCuyFIIsYzFdYBkSMqYk92hwC4DOGx8W3qTBRhRqBcWrr1
ZfoJrZmU2mIApo4WIrvsokoh1+rShNPZ1xDuNKh9hCIQco5yEMiHsGx8zdgWtPG9yfzliuFN9Ekt
0dIFuLhs2UZ+/fW4+bnEUrO9vk95IJFVzab5Ml3HQerWh/5L4gpL15OJOcy0++KRbjvp/JKj/MSr
vCDqhJcWL0K7ZICO/nDycfu+c1SgqilX/EXIbDI6YCF96Fdb2HSNlZ9CxoGhX8E5JI/ukVnKOl2m
B6XaJlcP5AupWi88/1iz1aCA1PME2AO3R0hWI2A0mYf6/sen0dOgoSDkx+wFaAlIaYEdd7Nubtjf
hi/42VeIKLPcZdPFFHAQhU3h4ZqekfQx01YyJeb3A84Qg+4Jwk5ZBDqK/HCO9JVrIecIkKGE2JCA
hiuZ5imTzLGPM0MxRowMhWm9vZm8XPfsSBdIi0hRPPFFGbQ4tMHikg5rytLDcYeO2mpYEDsjuZLb
7A3meoucH4NOANQSsIg2XBToTmtadtB/FuHgKoX5gNBEltNsSvhcBiB7uJRoLDzILeq2X4GN3NfL
KdMPB5FAz2jnjKj1QQNlriyekau/Xucxo8x9yHa7gtud/Mg3rfjE+Cm+9mpC95uVPAZnshgzJRV3
FNPBiKIpHNu95KXPFy6JWPSH8FAhreM8UVkw94qpzTQoQaBskTSzf6gkZnr3JwxFwifTT0L5eBPL
m+SVVpX+Wgt++bCrCx2raQ9fUULeyNpG72W04PdgI8Vwpn7eE28UAIogN1b5ha7BqnQngGlaqloy
Z+epMI8P01WBxcXYT3r3xvgnQyOZbnqgPL37kitnlKkTYuFsxBlZtkrt2cgESO0avq1uw/syFldr
ACZu7H4qXv6iISb+fvb9S1v/52P+H5rZfTu01c3gmK+y5UlWc44qNz8MRsB8jzPKL/kFv6scf26e
4zf7qYL+808bP/9TIytNMimqUyOm+vfpDof0eYKuIR6o5oX5j2F2/z9F6oFgM055CDUQZQqyf1ym
jrOnc1d//VVawh9u5LeKVIMjSK2nT6UfdefPFSlWF4SSGH7+rNIgwkDHW/erSIM69reKFPmjpBvS
hC8Z5ZB/Z/4E1Pd3751/6b6MnEHdwMYj/eGdml1ryWiNYlQtImkHvaUs1dbCNtdH9rOfS+9tMhw4
su+Et16jEHnS+A7ySWjjSiicax6tLtdmqfS7p692gt9uJq/VjhGJ3joctEXto0/3goid7TuMZj3Z
bwIE3ZHdFqHUKpeZWLj48QgXfqXRPnFElMDafigxTAMKR+QkBmI/H+K9MAXqKblhc5EQvvmGZzz1
WYeQAqUEIPzwnVyDbAHjIHWB5bceWubUhRI4kBRGpTP2EUkg+SUPSlNHDgWVLrOhnrR0+4q0ghu5
/wuf4v6GEZHWJuVG59SMet7Etzq2K+EorJE6IK1QP4CUn+UzVQLexB+0v/GLQrekCK0nGyoM+qzg
KvpwXcJvy3FRUCuciVCPWQ64zXiD60Z6cIoM7eqVjDzKr5isvDahKdqls3EYM94LtIYdjFL3uQkb
ZH5bhNUx66TO9ko3FEEjPx3wogQEF/k2tDub7xL1WVbboaeuRXWHlSmSvOLpCkKgfY8la8WZVHbj
z8IvTembmVM0WcefEt0CIgkwWeC7nN1EYIELDUWo6HbyltoX/QBDLGob1ZGutflk68NvRM92rtP9
beCPDCatW//BBIBGc4cejnewF6oTWwlX/Ea5cw0P1wLe0u00tfl5ZNKTMN/Qh25wZ9/WUAXzu11S
qtlZ72F5aXgS8XO2FFD413cqpfRWXEjnbpVTIlRBOf7aFm6xlo/qJTO2GW0NBvPNcuxu8MqZKOb4
pRCRXR7lDZs6Q3/IaBeC3WxxoVhTbUFgOSJIDkgNNGGMH2E92BKIQMPWV5OrqUJu2pd8/LaHDr3N
NpOTsuk5UpV373YM9wb1eziZR8VZ2RTUqjUWgUx0FL8ivR6d6SpcTKE4mxOOwZ/S53AKNUcj7fvJ
lo5EyOJEbVWp26S83hzurR61yZ1B3MtkLa3FbfPWfRjX4P5armtC4AkkmU7XDIqet6/7q3C45l8M
0YDFSP4Nis+json/VfY1V5Mv5zMEwxoWKZPfeKhapAmCOWzyN0mbRfWsEl+VF/1dJ+DvqUxNjcAI
i8ih7GHp+SamCBa945GmrXMUVbNriQ6ZIKfPCYEEbPEyyuRJfi0396DHutPYPT1k4u6oNSjuOMzY
KJ0J4TaNFeLVi0ZN8anviFIlee+eOXAoZLjapd2ryztxjlNiHgdLJQ7yPqcEioECTwZEkgAzSK6F
qqGXvEqKsqxaYdvQ1sHllRLLro70fPnxTtJc0xEdB7ZhhYgzFe2mfbsFQv0pSee2X96IqlSIrMSt
7aqCmZKeW6jAwuAlaNW24gyuNrtVHzwDBf3VizR52rSvIl8a6JYscX5NPrIb2qXvK5F0llzMJ7xc
5FnxxFqyp+j4mt5SwKXucYRCsNaEt+2g0m1/ucexV+LeIcf29p2JvK1p3RRgfTa9vpFmLe6nlzRz
u8ncoN9EODX9CZ+J2J0YdJ1CfqY2IwR54tZzTVkBMOAyQM/6nPFNLe+E1xoVkXDbwHVwqM0jT4jB
Gpy14hT2y6+kehAhSCE4ck7uopumhMcYO8UeiQIDazoXF8fwz/I2uzZuRDSOutMFWAOCzNVCU6bw
9OpDQDzeY5lAQcqCQrDNjScMUXVdEVicfja15kTg91W8LBpKd0x3jtGCgjpcTflwf3+8VMBo6oP+
8AQMZPQ3lvmG8rXxz3fJMx6U0oth8HlPAt+Gqx3dQdI4iT670csj+5KxMOG9DFbh/k+8ghmU3tkK
KSjwRQZqKxnr1RaEebNJ231PTnw8Vy1NTj97ck2NG80ys7ta4oZpUpfb3Ry2Bnm2wstkxPRwvC2Q
CzXrKeGJZiYfQzyX8200FVbwY+38QXo4Rk6GyXo1M+JoySzDTFcliZ6R4FTt7vl2K9cxnEz6aAgI
GPGjNqRtxg5G50wnvjDo5JP+xqf5Nwsun9OCUbRXX6Ho/uJYbFh5iK0RLX3DAAGtn34/Th8Oxkra
UyaIuxtW88zCVg2y93GzCJRR7k7Uf7XhtzB9hfnYx8TJeE04mD1C9XIPaqpjTbkOaO/LB20vtvXM
VWh9BU96Us/aywPheUFGl74/EE9KdJn0dn3t9zEqSLNHhA5gNl5PS9Lp+0P9NdG/I6r5NN3LvBzZ
IVwZm6xfXvOLQXgDamzRoYq7OzpvHNJpfAh5zwvtWr07Zcv7j2P45Y6c22Ag345/Pt+UMXOoe6mX
jKourXcL+tXAJN2/1pa6H5CJT5GLp9DmEY8XjzMLVfzGNB7jgdscDb+ZPeqXibo0Nt0s6VY/Tnf/
lWcyEgZvVEu8uRl2MKf/x4fdDQOZ+uu7LCCx78r7pazLP6mu/nhrv516dRVFEyQ8+c9zGNReTPlU
4hX/jNYWmcAYyI8Z4hBi87tT72gqmmI21/gC6W9lhEk82N8de3+UTBKpNxPECsyDAPP9vmR6KIku
1xgEfJmCFyYWOb7PYp2Wn2hGVID5hXKRmsTions2QVnMu2bxCJELMUMZYxN/ZEDUx1IPFHIDaSNg
qx0AVn13hvvA4YkCcrLFoZJidbEMcSFUgp1Ok9loMEdhyMjbvoq2vFaxmxjr9FXbikQfpLMEr2pa
fIXPZZGhk3RawQh6LK0BDWwOhG/Sdnhw9c/b6TllxP4u5Guo/73g6hpmm5nSYraOPFBrMDdFY33V
ostU3FZXX0UekHE4AEpz7dbK1nhJoY95nBmj431AqFQdovfn5UmnN7mPmmH/PivpEN+PpIah1fAT
xWyx2Ha3bBWqI22uIgdBMZgQ7TrOSkN7qdpLi3iIDhMbIZhPpieo2AwPQxGG9LpskbTNdUIva2Bm
j3JVsbU1xksBtOeOZ4d0yXl/XSRnzt2Qwcz1ZU3+zpshuEXBXuMUUD3obF7oNWvqMXH68KRrS/Eo
i+T+umiMWc8wwko4alOrbAvT3Rd2xrI/CSJYxdIXBPNgtEZy39kMeYJ4IaOqJNQDLPMmHVd0/tMf
K4xG97eIrEuFeDbUNrnH57WtxtdDp2sx49YcDGyg6+zQbuZz7xfiR3Ku9Rk+aph4d/e2ENbX/Xis
7775wLRNN9XhfrnPDDK504kpUQ9E7mNeQHBGJ1ys4ufm1rxxvzpneDjyNQmYr00e6/zq17Uvysh+
6bO314WERSM6P7rETV+fuKJ4NMJLOKK6j9Vg56/j4avEb/WJsNe+DrDUbm7hgfR7BPwSA/2Ecem5
lD3BLjwMw/QUERbJt/31bmFMV9OXGy2/RA8k5LjhjionX3a9+xhAoqTzB+Ot3lWVVXFbTLZkZEyI
GAVq4IVVTYuScold4t6+pMaKk5Ve7lIo8M0CKYeTLXjteQAytZYYYUcDxfIeg22TAtlNGGJMH+uS
x6iJJ3LIAXeaUgba1WkgLklqQDgZkcC0nUE87eUJXhyrwubLQUpBr6JNaL9ZPS8WX8wPSDvITs6x
VD+M0Fnk+VuabYdZTG4Fz3viJiDv2jUvsZwcZHEerRtH2d65ijre5FQ5Ae3/AGkfUsRtW+yGytPG
16tVNyWGnooWpxwu4Q6qxnqizqVtaTBosrOOQpZGt8QmXX13DGsfH2yqhnTGATfS82NLrBE8eyoy
dbU4E9YhVUdVdLOG87bilP33SFsgFj2iPanDciTMvRoO6PvuL8lxGs7r9xY8xXUlIeM6NPObPfIR
b7TGHt/xXusPueoyJ+Zl4Clo9K2s7riGyXYHVSMx9aLURJ0dhE9ffOM4b6G7xhug60E5bDlFd6lk
E2iFaKufV8O2jL6ksrDjx6LLLlk5KzXJ/cdJ9sIBGJBupYvIB8gzi/w2iBbPrZF5xQO3bWKBXeAl
YRUxR4d0b4LwsW448BOcY68co0FwVR9XjmisjlenU61rDSnDvO8in6JkMNZ5uYa85hYzUXfr3JRe
CBBROLf5EzzbQIFO4YJiTZIx4JmMkD3ElJ8Tct4H0nLU4FbPma7o0gyvW/iJsi572slS8xvZfO6k
TbKUNrdZwYp0d4WvzpXWPFTlRV2WbyUMDMAXFlweGD79zRK3Ex3KXPZd3bkj86MA/Uvnoyrr4nay
1g8huAEsdIJZdssstFKdQYs3TZwY0yMJ2dzJPY5AEdw2Nr/su54lnGHNmoHP8jkX55lL5xtXeM54
F/cJt8Y9Z8LHCP+6LtaZy1vw/bEcVtqrZhVrpkPFmjgE3wA5OhwojMgXGy2eE6ZS6e6SmCXTZ7II
LcNN5gWTuunUYSm/vojQSpvtfQ/v07zaU55IAMsIg/a3GxzO9Y3rr/Wihbxtv1O//Hj2Ng54LkQw
/ISte/0l2XLTF6aiR3lWkeuD+Wwww308AsiWuTi/3iAks1uavF6c5LCr9haFJOhFaXH7xmiID9C/
4o14v5OW4/2IeZzpVssbpYBTCNFom83lVTvPiVoyeXVv8wZJqUWbbvpC4TPCI9BMB4IH/N6azkae
OYOB2jytaBBtMXxTqjHvwKjoYC9Z0lnClgNu7Tv+Ns4RyDm6VKtoGc7yhbKmUN/fjvJSWvcOmlKO
4MDTC2tEyjRmBS4G8RM9643mQ6GZp8upneD05M4tGVVi7Jj1P1IFoFUm6CryIHcyJATtkTAZ4ZzT
CKD9flL212/e+HN66r6wm5LLiEdCQ6fptkfeATusKS22ztznlZA+v7rTffshfOkP/5aPoTtwHzHY
euRGOLrFDJCpVzubLgikiFp7Qr9un+ms7yQPs86ZWEyF83RPkFF69x4b5VPx1V34Od4hPLELmDgc
XiaeJm+eq9uMFLql4m+iiOdknEtGB96ZnuQ/RDwTl2jq3XBiiV+T9WMjbT7q2W0eLZQXsIdg9hHc
bvMFJaOHKbZUXplcRczIW0eRSbcMzXPsXJ3zaqWgs0C+xjFedrIAQVrONEN28OAz4yBTaDtdRxvU
JdC3iLZX1slC3D6whA02LwfASMiE+X5qqkhZN7g3NelVDkBysm+nMwgvdQXVo7HFbfFa+vdXiaSD
B+8JRiYu8H4/yi2ewz5Q3xnjJ4s0dXZcLb66HKCUcUiZyJ+dfTMPOTHaig2So5vr/qNkTjWh/GHy
Cj2S1uPDRqG/H3xtdl9iT3qZzK5OacuWEShuxNnGrhnW0/3qcWsx3kLSsmV0Zp4I4Ku2QHkGyTYC
2Xm89B7hsfKhAqH2HG0w5dxY1G5H837BsYAEl8qhiwAQAYrCiFjI/NKBqDnyGp4byDAz0DvQMuwK
iMLVi9zJrNE8tbObH2wNEpPW+TrbZhA2HrSnoDHEwW2ZLYtluMoOxLzABczd+r1a3977AxFKrgDn
UXKL1B8kk/uwU1yVRKXbjv0t/ez2/Spm3NVxCLGvKzIImb2S/0H4hxAQ5cB2GshBS+dzX/nkDrpi
oIHKLP0nW5/NwCh8a/a3lR7gwKPTZyn6bCjXWrwrshfxa0ASfhiwlD280WLLs4QBnrAQiBBPpNlu
j4wit+kzq4SWQXObxRrCH5ev4i321G3+3vVeBAAIQCWneYv1Qcg9HeZutTXeuRGGziV299OErVaC
arZMGnxZkzeiErPCGzpGaiMwFWW49Mbwqpxn0TZs7Bp6hhRELBwZJqPxR0noh/CFcdhsLC1xp7eA
1ELKXzt2VLNCUW722MwGK0uBuRG1YYmJL7Jv5M6tTVkOnY2Qrxo3abCh5TasugYTpCNeZ+RhMZ9d
3qGiXmMOr2ZGhNbL8GYslXXOeJ6S3AIPbaUevneWWmT185AdcZSn5ovwZXCzM++v6fpIQCJfSzuT
ZQYo/jy0PxY8zB1D9Mtgq8Hgt6tiJ7IrGwAxScD1s12+aa27U7+z9k3cB5dysTphwSIG405fiacX
/s7gwvQ8qqBQ6EXbsXu/MI+diTPSvsjqvFuGV/lPZvtnXoBTZn6M1/uDSwOdm9W91c7mKHtHIr7d
1K8W8WpwPz5IbAOeQivP5yA54mv5ttXhjkKMw6t5kInU4A3AWrxh0+HBG6x8lAjBPRhckoS8Cros
35LwzCATJo1YWzzHXcvLFz3jAYNlEtyvX+G9tDcftwstZ4scdXNiV1ya4GWYqF4js17Vq/6M/c3g
0ffQgmg/bhmdI1BS/NsRrlUxK+ZI3PzYRXbj9hf0PTbPnZ9wx0dCLwheEXaq6jV8mI19/ljH3/CJ
d+NPHB9P6n9s9rsenhkpbeP31SaLymQOicdGeMtTRFALiFa0cTwQYvZ4WbmYuTV9pZwU/5dbEVh/
rqvrihAD89cWWtf4bKIeMgZrwlUHrfXHYxhpJpIdI7rgcn7YgEXh7ZZ+sWqgnsAg5qD/8M/sSiyT
48oKEwlBAs7EHtyN5Cv+lKwbbYRYgVhwANZQEMKKmqVLw+H0xrv2A/+E6qnQEhQXGMIc5Zh1aL3C
iuxvVOmzYfZ9OJ8K88gzvQLFEui8lzCpbrgQaRByYoJlND7M0L3NHhtd29LnMrPL1K7sEaNj3M0G
MKO2KGbhrHzTlwZHPu1TYQ9m1/bLJRXqLF6XXnN4muOeO55Emh/ydMYydmPuE+5mzdmCED+ILuM7
BofgvJhzwmDDi7xxi1Odzh3ZuwQ/29UmbB3Be/IidG4FYFf2/jd7Z7LcNpal4Vdx1KZXiMA8LKoi
EiMnURQlUbY2DEqkSJAAAWLggFU9Qe9726vO5/Cb9JP0dyW1NaQspV2RttXR6UynLNEk7nTuGf7z
/4cQjiHyqjpXZhnyDEfrUcEtU/JmCBkh3nfn1Zr+boDwQ0QkANqooaqAfxDQ54JjwH+tFX7POT1A
bckOpX52tInIEOAjNIKoy9M/GUNjaE+Ti3U357Rxlrw4Yj+zg8uQ5HrTN5kVu+dwqKtW1R2uaasA
0RZsGQhUjt66xbY7ZctyRIRbIIQvmi5YKIXY+K4Ugq8GdzxkYUglwZoBSOzWjRAsRVmUnK6PlW7c
AV5xJMTE6VzxyA8EiCrhPSlQVLlKV+tSVuksQuMqvqTI0skgIOuYEBkE8N23Vp0NL1yeLk/5qQ3i
VLkoz+NOeaQJ0alA+KTpkGqMxXXk03vsX+keIFQPF92fdzGURCR7l37MFh2j53WIWWNfrtj5u4EV
VJCfCRhrQ1lnF+G1duiEiKAHWQJFAygW6N6+J5qldoGJn02cGQq2IuA+7hWiHgDrjrn2Gctedpdh
KmYR15tlSaPlsYKQ+pzDzm79pLtDOszJOdJH5o4HfMKeOYuP7AFZEWCWJJ95M9IH7sDCeonlFzBa
EhUb0AU2/rjSVSoXsBHN1H4CQE1pwad2JBqxeTAY31OqcJQ4fGAT7BGce2Im8vptsKe9ja/BWryH
knRFLFViVT+BMal9I8pvmkiJ4Dpkd1jsDsEhJdbX1wPFHc4oOkBOqkN1XYcEkNguC8RYgs+c3CRd
cWCrm+WIQI8jJ8wsDchwolUBXj1tDWZbx9LkyG86AZxX/Lz2J8Qq/CK6xWBugz4oFB5qFyqRxt/c
+QoWy4rgU0pG1tFiVHXGYYw6ljAWc5aKGMFV+kKaGVRbC2Yp8K8kZ9hVG+9MWPMzHGsWhrqre1l6
lCT2gu0Neq35rU1tPEz4BdRm3CLiDrB5CvGRi/5i6KCAJG4b6SQfmcd1OGeTYBuwWPoArkWKJcIF
gQ8HkwgXIAa96ViQt7PprwW0l2fyGmo9BbzUvJ5LZA9WixoYtUxhLQ+9si2+k7ZVbrE9sktc/uJY
Ju4scS9wY9102kykCEFPV1SBxDWn4uY5nQmN2hhyy+It0QDDgLpTCTJnNTLI4qEQG3zUAU37XZy7
II/ikCyLXwxNvFQ7NDDr/R7XmYiCxDr18EkgcV9gg85VKD+QbIhynD0qbsW5uQ3jcNdFlDki0vbO
cbKORRi1xaZARcd8meJqNBmu7rLKt9xluB5tSLeF7CgFeWaB2eVBewNBE+NgT6DXjM/nM2p/XBTi
Os/7ZDM8lToMPDI2HiC3O37ywsWxNcO5J3OHVKP9zTawoVSHDBIpvp54fC52lpkJZGL5QJ3aY9W5
uIaSAcOUEXeSxac4CxODDz7POzMHAKgIdTkV9xmD3SfKaWxZcc1Dc8t6gjzygUB1lgFFb5RAqwh1
UFgKou3RuoNmKxNYjcZlsFG5y/cBqyEosam0B5K/c+srCiKRHZTQjVn+CI4gkbkdIakApxjlfhoW
b6nWBJmZ0LGj75D0qH5CBYaSGNOMPgOk3JT966DilSYeed0lk+bAkbaIoBO9TNAJgXTXm8O2d+jm
rFbSWeNpA0iA/M6vj+2WRseOzPbYwj6KcKG3IhCFGv+mudm0NU8JmGz/3HY7F+41Pq4vCO81jr4B
/bvuD7YkOGzfJuSk07WFqAdfU/SFd50dXQD1xcFhyoljSVtzSmSgHT5vzEILwyGsgkOVf30FoQK/
hCEju4rrJJxJSJ88CO6Z7q13PScPW7qXV5tbDo0drVeGS7mOOaGkjN2ds1rL0z2LC6/BTdlWQNbL
oXBkzFDzJnrIN9rnAAI9u2te6BfmVYqVgk5V8eLTcX+JnDisl61FNL+SQiTTA1JogdwfKacZXyK3
AqhXIKLNCGYd8sQrdySWBJICnvuSUnbQwJexY01GRI/it5NTyGxcHGDVPRlRFoeaYCpgm/g5Y5di
ZAHp8QpFGPXq0JL86dq7WVzqcXgA0SK15mF3OibaYovDuYdyjS+o8CL1RPDQlcAJlxyyk5vpCqMF
fyq5fAP1JqMtyOiQ42wfTqSwYhxqJLJrO29qBqM7djzRK+C4H3nAOXVXyByWCDMeS77sdvqTOBQi
6zXukijJLhmNOjTalCHwoyAKFag1csYuObFAh6VR8+DOu3WbYLZbBzkx4NzfQBrJno5iHwPBO4ht
bUHEB5XePGRvRlLvENE7Hm5aUg86El4iDsDBnZ7AwsJ4xJ5Fz6V3mbonJ2KzivdZezv31Gyh6cim
VIhy6Qnmq83ZfKrdiHCp8bC2zDa/CyvaAMWdUCBsY2WRwDgX5w52R0wc8r0FSZoxuhje9dIcHLpO
u1kOUBy6snxDv4AAUr9Y7yiYyJfJJLOoJJL5LmDK3MD9oYTfXtl7mSIB1N2X/qx/vCPiPVHEUkGx
oZJOH91rhT13Es+k6X//8z/Oi5vPv79Q03v6Rg81PRt1XtOw6aPSNENwIjxQSAv1KrgSHGgTFFtU
0x4xKWh0Y8EIr4j2KZUfPUKyiRqgY8sWnVCCiuhbOOn1F6gUHs/B85Jesq43zTZD+Wq+Iy5YkRZF
qZk8uB5uHIR/UEd34ozmdu62eHGZx8XVOMWKwHieQHy+PS5kSOLpJEGbKibE9839SXEKofMK1vQ4
blk4vtTz5iN50cpPtdbhXINnfTkOZVjX62hLvYIuqFuBiPxG46Knr792a/S1C9QwihtgDWA2ciWC
0RYsSUlxC+kfyPbo+BAVMb60SQiUBrI7WenH8aEPdhpKlzloKptYjQqcSl/RDcwjx4vTBU08SQgn
7py0HR8vyvvlR9Kd6rVElW/rnBZ4imANGC+BKcM5hm2XnAjfQ8liD+jlurjJbzJegk7VJXwJ6JLg
1OJyLkalA0cviCwP/oP2uAt41cpgYrA65QAhSWFbM5JypBEHam+b7t3ddNd07SvYN93zQxvH2e5m
mr9bDWNzpOt0XaIvO9iM22aYOq2DBenZ6v+ZUcCN0sZInd4Cm0rz+tdL9UdZva4+DLPD5AVG+Gfv
8nCcDYPDqoAyFcqPGh/wcJxNBZ0Ih1OpKzT0Uzx/OM4GvX4IQugvtUoqHHTbgFRFdF9+U6uk/gxC
fQdMhQ9FGBpENFHDeFqh14EDQB8qLdr4HuLqdEA5Sse7YNXHsytD2tMWg8QIoAGpN57V9Pdar5bb
9E5AJgZ9NWReaN7LtKQh67jdwjO70PuV7qebPUoyHb7Lj53iqNY6u6RlaifLed+UW7HjiYbMDXVI
pIknewrjtM+JX5u+Zre2DS1W3U1fXgf8WUXaq21yREdaSBcOzUJCTPnQJx5zqKF7V/Vw1wdH6BsQ
BCetHHd482mpDqozhQznUDZdBeLJdkFc1k5iP137AGf5UXUWQ09F6tjxJJV+RjcZRxn6z3wyevNO
a6uLVy2oWJVHNIPaNF1QDqBVbgz1SWCqEX9xPbCA54MlpSLneOB6+DeTTtGarppwvqVoHyFDTdfa
vleSsh5osDGqrTmR9I7OiOsNFQW1vcYWQEYx1NadBEQYAYU2UBcDtW5dO55R3pS8imrcfADjOiW0
VURzIqSUTR6l1DHWagvU4Tgk/8b0zeH59jZmq8Kpm/uQRJK4kwFb3RRES/BINoNFNsBuLkf6PCio
ByKFtCfgItmL4QIUVwMKO1M6OqGV2UVeGaCaiNdolrevyfsfyEkzSsS6mv42WJDOPYTSiYxunW5B
Dm8hSt4ykdet60heEnCVrWKEzJEgBM6xnVQhXL0+iD5R+xjxNnoT7XkAufheOXGOGnKNekWVGzLu
ViNR5DSOqK+sx4FT9GTF1S4rrg1kkeqQ0BmW+uVVDkL2RFp3FqMUQenqSJRVIoeMQG+w+Vgq/oFu
287ueovy3dG+aRkRVprMNMgUEe6NL3Sk7MDFeYGsjsaniyM6pXTlHOxAlUGkcLaGcCXbXORLGhFR
6QBEqWpeZsS+Bq8ce9xG0SxZ4DxtojG08iGv1T6lZyl5Aby6LBwfiKAhkPX0wzBH01gaD7NA7Wtt
pFwodw/jcOyVrbSN+b+uSdNd6id42RbhjjFFEzKqZgC90iudNNce7S5Y3oUYek5nnezl20Ab7BbQ
F+BKr87ySdKnJHC265noD4noC4dv50rTTbfunjRLv27RnJVBqkWWCJcXUbzkSJkeWR8Bnu4Zp1q4
9AnBnxaP0UgJbeRSjXbtNgMU/SLB6u1trugUGUBq5G0/inZyTOk3gcD+hKv4C3Y8TKYphiIuqyK+
rmghoG8hhrlh+ve/SYD9+UexdTBWr90r66qYPb1UnvzVh8tE5x6xEAK6RWcp3BgPl4kDFaXuGA/N
9Q+XiXWrmKrCp6VbopXhkW+oOTBsQVMJSeSt2/gtvuEzLspbuBcN9w5MXjIXG00VTy8TZkOOzcWW
Moy1AQfUAF/fGMgVyBlC6Tb9c3ujqS+KJaDuZoxpWNqrmFOpVr2NDgmgBCVYkNsg4NfL5U0p79Hf
MGJ73U+sBl6tBuz7qplKiUU71K7A2ixKHC0HlZ9NASg0ydYYl1UJ+Cq3Un81VkFoUFCQS1TV8l2k
1giVaRR3qiOV9scNNNLHTXmQPUhryI7sUopHh7ECB+0eIS8t3/YOcLkoDcr043E+2eOxU5zikGvK
7srQysJLrfyszgE/1CshIFnGYZrpk2Z52MPGuO1sVvBFb7Pi5LCTDr5jro71Uh3uM8dNReXVgjHe
ysOyST45xvp6B/55bBBV79prC3j/xh4q23XrIMSV1rut6q1S4OiHJqP/eLUJzGKFesgWEwOR5jo2
L5M0sQJ5TtUskzef8vGWUL5ewA5ZbxYjU96W3lIBs67UOnDYHPiZY4NYMQqJ9GuVLYP5Ek6v1ElH
lZxCq7sn11Ee0paiHGgb0VXwrgrGvlF6h0QFZ7I0geHuaYzYWvFpphdntT0+bbYa1RLbSIHXjCf1
An6/fL3ys0PquPFhVbsWBcJVXpyXu2JYHRTFs23kT1ZgCfSxGshZ8zEp6nPzQI43Vja8Ps4IheeH
JjIBcxEy7KK9YV3G84y0Wr5Fmqah82wp4fHnoFGMPPfQU5o5td1Nd1s06xbY9k2627mrNfIJxr5s
QtuoUl+KYdxa1PqFHuvnjlqppEdtMwP8hsRbVa1rtwSk0+QFPACV2B7pxvJUiMoWZobwnCTTcbuz
yqPdgqJPJheRqcB1ZkgJcKJVRZ5ftWkAISI6CIkREQppa3Iy+Vi6qmRtEabSMneTQqbRtt7u2/Ic
tH+8yWL/L7Gqf0EAfm/4/Uk1CW4N4kk9Kw7DWVkn94Qsgq9lIrq8bn8ez8pvesUXQ/XHt3jTAt89
0P3L+pN09ve/HWXY4M+/Pxjhs0POt5/b9i9G/NGTHx59nmrJQgv60cX3x8e7m4NXnv/NFzz+QNSm
HgctLwytnxXV4sNv6Yz7iXCPCed6uhseknkV4gDr6tH19JWRQWJs0X/5A0f2ZSrvOjRfGNlJ/fn3
q9n10zE9WbI/M64fOagnIoYvjMibrCfTPyxSzd7k6MzjbP32gNQvO+J/fa+/eAs+7IyvLtTTFcrR
gp/dbbkf9Ii3rglnU0NiDapRR9Vxnb6c5RfWofdvn/89mZFchypwKp1O4jWcqNFsPdvGn//rgSnp
7hQl2fUk4Uw9esuvHKLb50DMUlCDq7aBgv3dc/zYafhKa8IL0/BCc0I9XzxdzT8/+ic+7Y8zJPeL
L5Q8bZuUiibjl762+KCeV2zR6feO89dYZZMUkmMiK2ipb1wQpzP4v7ZxkhCyzR7dDu9lZclrOzCK
mc+YjV/Yz/cH+TfGK0053jPGvK2/e9i/xkI/rSO8trFfLkl8qxH7qccY4uIXBYFfWOyXJIHf01gp
MOnQbUN/TWr6jSP826JeV2V8LXmToqKj7N2e5hcux696FV/x2d+H2cIJgYjcJF9DVuMNb2QYC7ej
EDarlAbFJC6IlqRbku8ZjH176ayYpVfJrHyP9lunzEn/oiM7XFdvTMSXFYdAEAfy/V1WJOgQCIaP
gerNWz7ow2CJ4N61M4K2DpQolL/Y6m+N+rf1Mqu/d2l/hQv5uZDQaxfyrT/yB02ib72kfo1Rgywg
u6zLaBC94V+PhKtZTA53cRW8bIKLViJkugZ1Vs3W5W2c+32H+xeZC4qplGhtE/2K12ONYVbOUrIw
MB59GMzIzMyYCCoJ79onNZ7xBr92BO45iaVXGYnf44nA0AuuK0vD5r1l9CALSkSiwZ+VH46LdMad
/r0m8Gd652LI0GzZCmr2xmNw1AveuZ8V2+fZ1vfhuRnPOMhe2933Bn7yhM3sXe7mZ8I/rw3au1MQ
EkmzxyJC73PYT1VyXxv2M6Xd9zlc/FIFIBQ4wfvU5Fejr/vww0sIR973bfUMuvXaGg+SSYV1hoeK
vf0ECfYulxvkmSBAtDSgAY8pGV+w18c1GAXhqXzvxfQreGa3HJGWoduK4ryVBb6zYiLi7s/iufhf
xgxIPuVCkTuMis//ef3d+/6n3tKCqEelCKAA+7sr6X31kPdmH/6PbXlNZvHB0OgmUOnXffPWJM1L
jvt3x94/dZWFoIYIx2R4nO6yhz+yygRrqgLkldqgTtXl9Xm+mJVVKrC179q0YEgdWzFtiovKG7aU
U3VaT+EXZeDfO+afu7c0GMQ4QTQVKG8s7mhWTGvK1u83nAcdTSWNSE60UbxhMm5TG2jq/AsB/M9d
WAebobOPDUDhr5/a3uR08i+UDL/fHXjLjCH3JF5yncwmxT/+BwAA//8=</cx:binary>
              </cx:geoCache>
            </cx:geography>
          </cx:layoutPr>
        </cx:series>
      </cx:plotAreaRegion>
    </cx:plotArea>
    <cx:legend pos="r" align="min" overlay="0"/>
  </cx:chart>
</cx:chartSpace>
</file>

<file path=xl/charts/chartEx3.xml><?xml version="1.0" encoding="utf-8"?>
<cx:chartSpace xmlns:a="http://schemas.openxmlformats.org/drawingml/2006/main" xmlns:r="http://schemas.openxmlformats.org/officeDocument/2006/relationships" xmlns:cx="http://schemas.microsoft.com/office/drawing/2014/chartex">
  <cx:chartData>
    <cx:data id="0">
      <cx:strDim type="entityId">
        <cx:lvl ptCount="33">
          <cx:pt idx="0">5293927752460664833</cx:pt>
          <cx:pt idx="1">5293928192342491139</cx:pt>
          <cx:pt idx="2">5293951599478046721</cx:pt>
          <cx:pt idx="3">5293950800597352449</cx:pt>
          <cx:pt idx="4">5293950806788145153</cx:pt>
          <cx:pt idx="5">5293953081107546113</cx:pt>
          <cx:pt idx="6">5293927382388834305</cx:pt>
          <cx:pt idx="7">5293949338379091969</cx:pt>
          <cx:pt idx="8">5293953144240209921</cx:pt>
          <cx:pt idx="9">5293952808779776001</cx:pt>
          <cx:pt idx="10">5293951900176089089</cx:pt>
          <cx:pt idx="11">5293927712916766721</cx:pt>
          <cx:pt idx="12">5293927654196510721</cx:pt>
          <cx:pt idx="13">5293953213093904388</cx:pt>
          <cx:pt idx="14">5293948341594357761</cx:pt>
          <cx:pt idx="15">5293949681557045249</cx:pt>
          <cx:pt idx="16">5293952870754811905</cx:pt>
          <cx:pt idx="17">5293927036509749249</cx:pt>
          <cx:pt idx="18">5293951640414453761</cx:pt>
          <cx:pt idx="19">5293953942449815553</cx:pt>
          <cx:pt idx="20">5293950146973794306</cx:pt>
          <cx:pt idx="21">5293949508332290049</cx:pt>
          <cx:pt idx="22">5293952843273732097</cx:pt>
          <cx:pt idx="23">5293927195540979713</cx:pt>
          <cx:pt idx="24">5293952979219513350</cx:pt>
          <cx:pt idx="25">5293949265565974529</cx:pt>
          <cx:pt idx="26">5293949940798586884</cx:pt>
          <cx:pt idx="27">5293951227460059137</cx:pt>
          <cx:pt idx="28">5293949699693215745</cx:pt>
          <cx:pt idx="29">5293953279816892417</cx:pt>
          <cx:pt idx="30">5293953317146198018</cx:pt>
          <cx:pt idx="31">5293953341959700483</cx:pt>
          <cx:pt idx="32">5293949906472402945</cx:pt>
        </cx:lvl>
      </cx:strDim>
      <cx:strDim type="cat">
        <cx:f>_xlchart.v6.6</cx:f>
        <cx:nf>_xlchart.v6.4</cx:nf>
      </cx:strDim>
      <cx:numDim type="colorVal">
        <cx:f>_xlchart.v6.7</cx:f>
        <cx:nf>_xlchart.v6.5</cx:nf>
      </cx:numDim>
    </cx:data>
  </cx:chartData>
  <cx:chart>
    <cx:title pos="t" align="ctr" overlay="0">
      <cx:tx>
        <cx:txData>
          <cx:v>L'auto est x fois plus cher que le transport collectif pour toi et la société</cx:v>
        </cx:txData>
      </cx:tx>
      <cx:txPr>
        <a:bodyPr spcFirstLastPara="1" vertOverflow="ellipsis" horzOverflow="overflow" wrap="square" lIns="0" tIns="0" rIns="0" bIns="0" anchor="ctr" anchorCtr="1"/>
        <a:lstStyle/>
        <a:p>
          <a:pPr algn="ctr" rtl="0">
            <a:defRPr/>
          </a:pPr>
          <a:r>
            <a:rPr lang="en-US" sz="1400" b="0" i="0" u="none" strike="noStrike" baseline="0">
              <a:solidFill>
                <a:sysClr val="windowText" lastClr="000000">
                  <a:lumMod val="65000"/>
                  <a:lumOff val="35000"/>
                </a:sysClr>
              </a:solidFill>
              <a:latin typeface="Calibri" panose="020F0502020204030204"/>
            </a:rPr>
            <a:t>L'auto est x fois plus cher que le transport collectif pour toi et la société</a:t>
          </a:r>
        </a:p>
      </cx:txPr>
    </cx:title>
    <cx:plotArea>
      <cx:plotAreaRegion>
        <cx:series layoutId="regionMap" uniqueId="{BDE5CC01-8C7C-5045-AA33-FFA07FBF4903}">
          <cx:dataLabels pos="ctr">
            <cx:visibility seriesName="0" categoryName="0" value="1"/>
          </cx:dataLabels>
          <cx:dataId val="0"/>
          <cx:layoutPr>
            <cx:geography cultureLanguage="en-US" cultureRegion="CA" attribution="Powered by Bing">
              <cx:geoCache provider="{E9337A44-BEBE-4D9F-B70C-5C5E7DAFC167}">
                <cx:binary>5HpHkutI0uZVyt660QURENHW9S88ApIkKJNk5gZGMpnQWmM1d5hLzD3mJnOScVZXd79XXb8Ys9mM
jRHJJFQgEHC4fyL++pj+8siet+anKc+K9i+P6ZdvUddVf/n55/YRPfNb++c8fjRlW351f36U+c/l
11f8eP782dzGuAh/lkWJ/PyIbk33nL7921+xtfBZ8lt3M4su7uZ9/2zmw7Pts679D/f+Ozt/ev7a
zGmunr98y8rHLcNGv/221f385ZsqU4USSkWN6DIRZUrUbz/9/H1rvx3s33Js4hxn2bO5zf/rv/33
4y0uOmET411muLq7NQ/BnLpn0cZl8Z9e4nlru1++CbryZ9XQZEM0ZFlXFezGt5/G5993acQgVKSi
qmuSLtFvPxVl00W/fCMqnqUqsi7hAYqOPW7L/u87ZEUhFE+g2CyV/jGmuzKbw7L4xyj+tv5T0ee7
Eu+k/eWbRsRvP1V/O+4fY6PKhqyLqihpRJEJ7n/cDvjg8HDpT2LVqEIRFbGr9mxWrXjiaedXw56W
27ivrPFLTtxWg6xIWNFshhGKXXeaBkbM1Kms3IyYxgr++tQf5b6KAJcsAumeRFA+BxG6DoZL/NTe
NZUpIcwdJ25wqhOzInYzPg61AEGdQGCPha1eDfybYshOceouoZ36fc3asyDuhM6bIq5clYdmhzeJ
mNJjspoYjIi1rVXMR6nh8SGPNnPO8TuMmWywXjBzDYiXOoLCNG9D8TIym82F0xIEai8DTGuZdW7y
OZ9JBrMZ+nLNRtluM0eJQbEmHraQ7IpT5UrWnIH8Rbx4MbFX9cKCBqQSGpk31A711dA6+J3lDBci
e+VNmwFHlc7YiqxaeGjdWnga7tN0rhVOYzQQLtyYUp6LMC4fzXzB/XjgKJh6ZnXYQ2WNw9GfG2Ej
f1VuKTrEYLG+Egsbl7BfR4tVtW4JRurgzmiX+4aN1/31d9KZ6rVbY2fVa6JG2PkoALlc4TP2pWAb
h/tg5JIlsvqWZpdqABxDPKcPfLwn7AJ9vFotTNxW5CyXsAv1TentLl33Z/xSr+UNb2YU3Yp8KQ2v
3KzZSJZhl8q7JnsxPoP3ZjhLpTdlkGlAGxBLWAgkMVNVq7hrru7rB5LAPLKiA6JcqsKdE25UkHXm
gs+74Thm8jt5r+5P0nFRMdiYcBwDheSQxwqow2emfrT6uqICdKvqMjipXXVQCyofVkp2LTqTZlZC
GEmdfjAX0nA9svBSqbqLhgi04UTiM+kMqEvLSKBpGTXz0MmyqyKVLEjveb6A7mvCZ7Qc4uqtSU7Y
jn6YJ1stHOzU3L+ntiiAmgOuaW6SXZN+11xE4sthY+XCIVn4kjDVr0bJql2psGtqBwqLDmPEowO1
VU/3xMhUvQqiQ34yoF9TP3zmzHgP3g+5xpJt5lM73i2Vj2OXLabR24KNP22Nvin1GYelHiWYeV9g
8ERmnhIwMkvo7mn6FumrCkSrKsxAORcaxPFN+Qo1GcaJwnso7bSexQEGp2vAZPYy6F5ImICxGd/y
ReXUxm0ttTM/GGYmz5eRNzfB7tcV9uOaU5d+BjOPW9ZMXtquqsSu9LV2ICFE5Vrq+CIAGc5V2YNe
f+TZVasEJiWQhd5YLJworqjDHLCx82kF08iW/r00CtC7ihWhIwUhdIMZsEU3K2mVtmyYbHF6vI6V
VoGZd6B0PKC8kFZGb8n1pZvNi9RYi5c3vFwHPXSJi0twNLZlZok15gUeLr6wSclnOIAm8Sh1VFvI
eDObDb54fE0/lH3Ld4LGKzNV8IU2G2INhR8Tk8A0s2TkRsgNCbIMyhJIaIqPYYYiA2Ob3GpMS6AR
06BQnceGk2sBac4G4TW4pUvoW43vV2ROgV+63XlunepW5MfgIQoexkT2EfZXtT+oX5O0IRHXPSmD
ACr8M/DZTGd1jFkRs2lh5WlcRxPW2n4AUTvMQQqKEnIxxtf8tcz4MPtDHsDYbEbtEH4m4jabXvvD
z0izhrPunXumgAKVK1iRrfntal+wwJTvqdXY+VZ0KvYlcIEXLOSZTXnAyg5CxckvxXAadYiwodJq
RtYrxOlBKpgyVTAOAQQNK6cZxPRaDjHM5EPZBePDiEbYi2MC5DDJx7Z/RsplMM5Vwsfeyu/ywTBV
HosQblvpthRsSMzVkkC00WYunD5Dyfy1uP/8N5jxQ0l8lNXcxGH0G874x+q/ncocl7++zvnnxhdQ
+efaJU7j6vkZ335/1A8nYen97cIvfPPDyr+Ane8ByH91538N66gIDySqUl0UiaH8p1hH2Nya+Pkv
cOb3rXwHZyREJpJOqYKI4XdwRlQVomk61YwXZvkOzCiUqgZVFUPViSx/D2eIgUjGIDLiNJlq9P8E
zkgykf4AzygiAidZFlVV0fH+v8czdUSrMU2NyM3cyVKJGQpm5vam7Bn73ixc4dibyQCN4YaiO2RW
jOV4NoPclEcu4guMpylXzR7NZh3s56/rTEqITlG6nrDQr+k21KCSX4tOQbmWgpmcFot4dFtEN2qk
oLtKAkvCE1vd6a40Ar50y6GXzCJZiQlLJdZJK+HT8Ed9L0kWpkHtoKuvkj/xTob4kAWgNlyJD2nq
YiHGAqxOK2q43Vq/RoS1C8OCvjCRDesCX7b+Fg2MXtsbohWxxtXks1S8UHIX1TS86jSbFOi1Omkh
qLtlsvXh9EoTbBlOiU2IHWebSHBUxW+nB/avXyV2ZrcXfQRcQqvYjKtogmoji1A9E12FVOTDW+J1
m/xILsm+2ciXatO8Rft4O6/iY1zA6AgJjB1kT/quso4Z2A6mj96hbvJs71rCZB2oAq979ycByrv+
KZzyCz1NKhNnXidsDiGtItbFK4qn9U7C8L3vIyvTTdlPL7i7JhthRPwIWcIXBfRTgDAt4flFP9Ur
aZffJSxsbPaMDbGHa9K4L0yKlSIooNdYbQc84TVTnNisN7hh0b16AmVV2pmli5BxjaVebSdWZs1v
87P9oBUPK7ZEsGD5hvltuxggPue3eq/VEKtQVuzZstTcHnJW4qfYqk5XwiCzZfQF6dHJh6h2SMhk
s5taLrcQ62D0MwzSRcRKq2PDZQ7Tp2ySguNeyhFZU5aupNP9bt0F0FikMk2BZ9m/P43Pg/x+EBMY
AFSW4MOlBafzW3MIu5NmxFgat/rE1XOpmYYlE+b5s3sLmWKOrmE1kDhYgFwZmoMntMpZyx0MT/pp
hDWWw+0S7ozmmS631KEMsXlCFjDWnT+fqtKkgnYYCh6PIA1rqp4i2ZV5Be86K1Yd2CbeIn8T4Q1k
V/Ap03jNVTNnpxJENprbEMb33Eb4DDphYubqkh+2z1JEkLlpc4dK/jwekmYrIIa+PQX4+LgfdmvT
fzMP9+2HDtOpP4iF1chOB5GzvhhAvcWMHBxDhjEHC4tENgE+g80hddpD7Mg3AcRDGkK10nho66ZY
wcAuVWkjO2CZxEbClZTV+zQ/j3EIUyNBUVSQhjIIzsSLekvOqjU53Sl2VAtRpvv6H3gCtL583mw3
hCGMwb/Y+UjeZ5v2nh7jUa+NpxCw8IMA8UpjWoy3fSes242+bCpr2dStFgpecbJpvZEFniz4Yn6J
HQF0ky6QYCXVrJoyg7yrCMKHa9pZgyufRVOCkzut5nGPo5PbOQt4+BSYOyAGxuBI7SfZGVz3gxkZ
BijaIT2UflSB0HvFLnrvTqKGsbOslQFCyQkzF9fn2l9yttAE8oOseEVgtwijQbXyFhBxpKElGE5T
b5XcbQ/ScJVCn8qAp4TtuRnsUQP9hRNZkL0OjzO3+DQWVn1id2+4J+6s2uAFrqo5a2Le3LWdfK7k
HcZ7aY6+pFtaBxWTncwjq85u9uPRcMh6WDDEG2ghdxA70JQJl3FiIsHXdYF8r+ofTQRK6UrQ2gW5
nYTBGiNHS3dppmCewDC1VHoqI4f68VsmrAphFWts6JC78XTXushsmO4j5egClhOufWqfcuCMYYox
T1nMHi2yU3lmFAHeEEKcmO6805OaBcqOesIMSs3ywS6Tg9paNEdoeZRlwKXEmNBX+tcw8cbvCZsH
m3SmpIHwRQszjU1aY4rb0Ho3xUxfMBSduAK1WoX4LdsEn8/E8bx2YHHMqwMeNQdIenhFWeQUBY+c
qgUDL/RqoDoI9U4wrhkOZ2BLyLDY7JJ1v3sTYhaquCptDMewNEvmIl/M+qTFQAwnWWBeG5E5r7tq
pbeY/px5jegNP/OatlZwjTuHqCEUGA2E4Yogbep2HyKV7r0o3vQBRAXvmk8V3z7Zbnz8Tywiw5wc
0s/ptpxlmfc5i4xr33tBw6XWCluOmDbdIbpFiBp+DjXzyRUpRz2AutyfIo1xrPiQXWXdnCC1tY63
oRMTnx4SskU+ZUSb3Jx6Lz6MNUOKjCTfR66P1FexNK85qZZuyWZlETPjEljKanxiVbbCfbJdnOwY
e8V2fGvtaht7iRXwF2tUMAnrex2zsOIgCe0nr01s6lciIDeV+9CmSNSVhOWhVyd+X2K4cqG3dH+o
TIG1b/Ebki19hg7Ju/2eu6MbPLQr8l6zdGdLt9MBcnf60jfChmz1j3lLb/kISW+1/V4WrV0qrqQF
hHOesUDfzlv5KO2l/eQFxxd1ifzIF3uGSx9xA4wHWfzoIHzqJz2CdmZzxuMMqut8KFfER3acPfNj
slK/QsNrV4XZ2ZU9O/NKdw0fC3BiR5iCkRciS3MjW3XHEAym8mUnWD0zmOT2kEKCvyK7xgIcMGwy
2QSmWPL36UXueaqa3VmQrBbfWlt3BTfcBodoE9nCOnlDXPGRvfWOyiVX32GZH0ZG3dAKY0tJNJBq
yU4KU+9iPuVc5/VKR4aBGVOH+qQTPlmLhYTeeNza3m5na7TydWSwWeIZKHvFllSoFTZ5YcTzGJDj
aVscoprJxMxlUCOWCWazbINt4ncvQchMqZ3LvICuwtrm4hCKVrsekERLpspKnnPRifm8wpuwZvjy
jm/+7d00IF9f8FLCh3HM1/q++2pRxIkR4LnFbS5Bb0BDdui3ru4RK2RIhFi3IffcKq3akkSzy6Ga
uW4WToHFoIZNDSMiMtRs1mJqDRNzBJ5uhZ3AQ465jeuu+t4pIKyE1bRtHmEG+Rc+1UBnwYciXsVD
XDYQ5U4QWeLCR9lZktWU34KFay1kKb54ihOViFMwvbBqXbjRLuq97NSUb4WPhLmHjCHDrvZSBXSt
ib/y8M243PXYz+Ntb7wb2NHSXOKdikfEq1nfU4UrxllYLyPIqN8proSII7G10nst5n54r5DxTS+y
LGZMscmW2tRVkxXV1wEi7gQEAcvyvEqP6bas+HeE5Q8UTMn4EfEjn6CKQYgqGZqG/EF5kYvvET+d
jTFYBDFyS7M2RVtHMpuwLUURZQE5RTxzMpaN0tgkikBP3mvMSePOMFoeSdDrNSAWYc9dzVMWwwvC
5Z5acSO1g9TGI1Ahqj/kGsrJaTV/znxxEVm+2O3rzA8UZEHM/LS8y3IFWsnovWYRjjKnl5iaSsXl
p1gDGU1xYoXIcZGfDT7tzFbnc6Nv6GVJUUGllmqlfoNaZITlTVNMvUZNkw0Vi4oEpAi6LQIGjqjD
7s2Oj55uZivVDmJAIi3wGVP8FLlNm0MfrUXV0elaUawZka0yAXFqFCpEcym4ZHAD63sWb6Lca6pV
Utoo9UwTl8zFDEULfynxZshcI4BuP+EYsLm1aQ15a/fHt7xjYY9ogpWqm6FEzMotuSc4xgvvei62
TCudSbaaGpA0zIMlJLZO/CV5IOgPSk6xQcVVBqcgmKu92rBQtlHLN1nZViPTPyM75DNEpmaOqDbb
I2Cug1WAGUg8/MdRI1P9B574W9RoVH7FDorw1PgxaoRhqZKqIZHb9VCjhoxCqMLKM/nKD4b3kn4R
zYVO5Q5u4KWHZDfe5MKcccQ6p/ZzylSZR+oZQRlipxJL6DmrYG6xoPLmE6E8YB46NJ/J5zBA9I5f
PWro79Vn6gyfAqCEekTIORSv8Ip1NmERVPhoR4j38QV+QX8mmgKkyE5k2RLuachIyfT5WcmHAANv
4P2emAhUu+N07DQXo53giL8F5+QaZUx+a7bLKeuh3HfbeJU63faEyM6eU1u2UZCzkHlaEkZ+hJ9u
29vKerTb/WhXVroabQzGziXnPITgTK2ahSZSUB/lXC10MXnx3FFF1L8u0XUOmbqKCpg6CN61nfiu
ncTPvkJVHpKvNAZ0hV6KY9da1Y16EuJ0iel2joXRuI5ctZHIWvlpRLgU8UZ0jJ7VOVPLlWqw0nCi
CbXHBgMz/yj8ASXH7KDgCdlZA7sz8SfvWGa+qUgxJYaaFgKtquAGwrkzUiKjBNQ4s8PoYio2tQKS
lcJUb+QjR4SbsuqtvwjcuCBCRmUrxY0KE2yhhnn6ehX65k3veaIjcCoOAb5ne9V9hWdu5ZigDS4j
KsvXnXoaWkyUrO2BSo5YQG01Xr1DjYCFVmVj2qnN+phj68RpJgg7RnuuVbzwcC0gTtqvumHbTUxD
hj2xvDaL0RxmjwyWGFs5tbLI0d34GO0zghR8XikvYjtCnrBfX4n/20KY/SxfPln7/4QOJuvUkDSD
okyE7/+/7/mtnz8d+09h26Mv9wdC2I/NfCeEKbqsEuXlxmkiRefsO1/v5dDhdQ2R/F4KI9gnWaOG
oqHmpWPe+aezh04f0SgxZCJLLwHt7xrhDzImuqd/UBfRVax+7+spmN8kBd1D2dBQjfuhKorFEs0L
VsUW88iEivfndwP0B+1Lvy+8v9qqKhEVVVckSdFwBH68REaCUM+ogvDRrW9LNHI0bF5elOikccSq
6p14qFWd0XCiKrIBxDKYCdYiCw+VzCfB642KlbeXX3ZaSkD7qbyVN3VAPWUx0SBbejtFkmrc25ol
2QfxJHGnZ+3LpewzaHMeoYaROjkUeQktsollqyPaR0LbWmTkWoNQy7DDQzQfxS+8CjYZohGXc1l0
k10jIjBkigya6HS5JZ91RLOn+oDkdWh5oXAxtFLsqw7aTS0AU20U8ljjSWOqDiZK1cmpWe+3+io4
R4yuFF4eBrdQ1/Gq99sFzxp9jeWOhmwfJYNTMbAK9XUzmi0Figfy4Wmd+5gHUCJ7V9cKnz9KjWuy
rRrhy1Uc3lWFF48scJSb1u3pc253bWWfJdEaUL8orKJg+Hs5dhaxJ0uziadYhodiv8gCDSa3bUIQ
BiA3Qz0FpW3cUFrpDwbqlxX02FUBRYnByVEJcxEEmInVElicdN9uMt7a8otel3uUFO/be8uwwGEu
5MGbtJX34j5yjY9cWNeiHSWYctfhHQv6pYy3knHWERS/HBqkC3Qnl96Q8L2qMiKyKjEju0c1UGIV
uhk9SiP3aQnZ8t6/tDssxDJ6emdlRpDamYGf2IFJRnSiZMEMTH2LmNkjXuE2ru5ErgoaYiEKHd22
5mQhKGIqqDDg8F5TmPedJW3bBlQUc0roHsamueYZxOdsHfr6NtikZ6LCdCW2th+sqw5XbOz4IbOJ
E7Ruw9u1pMdKiQA1uiTioV/EoCJ4vr5Att2aaD3j+fVXb14z9Kvdqxqa2CGEL7094wggwp+u+KMp
Xy3gyf3Ih9Y0AhNF6SqGYk3wqM7LZAhmNs4w6rxUraFnk+7gSemtWtOjdA0XJhxbM3HJXt4L1qaz
0FFczawEZZu4aFg7KF+jqT3eUH/BiMYlMH5dct7HTOnMDqWZeIMiUhdAShkKSuLEs5iXoTUMtnxG
XSbsrLJFzQFQ/ireh52IA5iCmrI2hfGNtkzvoElZUUD7TAoIRiZJrHyWDKEKL5kEiiOtFifZhmaM
kVTbtR17Quwm59FK17EbSegEF3d516yMU3FJEy6gcHESFSxjvEWhebIbsllCyC6Kn+tm6qXmWLDs
0qHgl0M4mJO2l2aOthFuScgHwckBoHH8SiSTNizckF05/OomNxf0YSM+ILjk6duwQks3t+lrEyKL
X+XoyRGw2V9hyx2BS7ivn/E+9vIJsi2GecbrkM01qJcRfXmvTgG1JqED/d5OQDtU8uo36YLDkB3D
CYz39E1GimMOTuAODkqKdrzJWfw2GO9dvM0Kl5JNHTqam062wcNN+ET3OOi4Lr2hmoRpaYfAkWeH
1h0Wk7Tu2HvDLbi2iGK+jOt0llBoujYUVz0DiS4iGERJ3cKGs+pNoiuVK7Rmg8VPUcpR9lLOK3R4
d+qMkAhdd0Nl+gH7J0vWhFQOTeVeWqHmKSWsTFYDIrLlgAeMYLjaDl3shKMbj79VlLTQiEDBAv3L
JufSDER3FnGDq7gIqTd9UeQqKrTrUUxZ4i846UDG4xO/OmsUzYgNLf2AbpXFkTw0Q2X9Li1os8bI
s6xqU9mh1WmsrVErCTKsT1K4qdcNJvYY6N6Q19L8IV6NrZEx3Dh8oeaIr9mNKKwABTP5rn4piqZ8
RaUmf+suKNHgJIKe0w3qARfpqzHlh/pVLr62XRq0vMFoHNF4Ef91kV6U1EsW1gTHPtgE6iOWOVob
oxsqSFSzYhWgSS+YEfr5/RWtnq/CwHKySYNNZVIUlwcHda5sQd7Al3Nx6J1Kcr/C2AwSDKv0I0Lt
zUt39EtZ10BxGG3qoRym22gKH7XPEUlyxRTVgETYzS+nOvJxKPvOa+kMsbAJd4ldokmEDnfrjKt5
JbodtA/hIwO6aXnWWqgk6bawUTzJ02czbZ0ix0JixelHF27Q4+7EjdB0UDQNW+fqwxhXiVaxpEIh
s7PTNGEZ9al0EloUpJHTD401P9DGDnGehM4DRLmN0+NA40wTlJokru9R9sAamIHk4aid8UcimHJr
ShHDcaMq5NMqR2GIVmeleYgxGrdm7WIg4iwPBXMw3h1WNLPARnQ7RhkstGer5/WaPIKtgZY+oRC1
1iLZ+JAxpsRrdY5P5IGHhqdowW6Yebk2CkZ6mLKjpkPAsrdpQTcDVc4EUtZPftZAdkZXzVOx8dxd
I8V+F8lGpDwerMCkLzeuXWEpalfYp3xboxyg8E5EUdccG0tYp5jsUYepnoUt7MilRBOaB75CeDlY
e0MHuXDHO8KTfCvf0TocDLc+56JbULtE2TSzMg29exQisXo3gqdMR436erLG8PLFBIHGS0ZHcUfq
JZDkL30bihsdhbsBQUgxW+m5VEXog0uZuFHE1W2E5AUTjjozId61q5hsNRJaWFaD3qovqnIxDuNl
vqTbhhX78hh3rJ2fY+V0mMc8EVIr8tCwR1ku3ebbMWVHtbKCDue7+EvmyxWfkLc3pxiTR72nth4x
uWet/JqhM3KhCCHEhCI6r2k7Eb5zeuIu8r5d95rAZLlgZZzjwKWsxAJqppdebrh8kGWcAhB2u3mk
TE90sy0MU8brlE7v/CkuxcDIZhq5weBm85oUh7S79906RGUZ7VU9EyESPBkFPmJ2iQGlZC8IVrT+
Ni27LDrouttVp2BTLk6ZekEbmyS355lF4U1bNlFmGe0BC+2CwZt/afv6s0H7KYZ8h0r2gGLzcEYz
FxMjpsVyAIQZQoTBvFY88lBYjdOCihVOB1m8vt4X2mps3Cp7TR3BRK+tSrw9eT3QI9okCAoanL9F
b3ig/GhRmxRbU+l7nO5w1DKW5Dw46vsRbVWfuJVZma3Wrf5ktJmQhDk60+iNoGGDtpATbYd7ucH5
PRRLAYLa/KZcdYW9prLFzND58L4cpSP5ENDg2AYfZQZhzYoZo7avAUGEcNTQdEs5uQxv3XOuuKZ7
iWl0MG1Kq2PebTFfk4tyV/KSG+aFMgZ9M2+j+/ye3I01QW9utDA9zSrOaNujdoqpUtgMaKT9/84t
CZU1VdVwkgVBIvQddXpN/Phtmsbf5pMe4iH+n/+jeQqfz1bYNbcYJ1u0r9mkrymZT+HWT8Kpeeb3
7Nn+C/X8/VX+ST0JTv9UDYnIIkpX5EfqiRMf/jd7Z5LcOrat5+G4hQjURRc1wZqiKEodBEVJIAoC
BAgWwCA8CLc8AM/gTszfPulw5sl3/V7cxms47FAeHR2RRLGx99pr/cVKR1ZlRxSlGvXlnyoMS9Zk
6jjb5uOG+ZsKw1QoRh1NN3gPP/4rpSdaE4G5/q36pCbWNUPVZMe0ZPH6X1Sl5/zZXu3hkU96xSe8
Noea9bOuwMpZaYOrRk7mn3fphXx6PJqGOx4vM2MpvbB8nSxgklcnnx+Y4kK8YXXxuCczVjt3P4L6
34C2rWU3Q8gB+LbLTNc+B6MVn1tPYv2xtq97u0yI0Yg8btXLcD9cbpHCGyzoRTZMpBpRznqTCbWI
r9jGJV18jvpRVbdPNuuq3Sr7hhoT4ZCvXYPHT3EKEIvcxT/Qb0ZzC0hvWh5I21ND6Enk+oRo4esK
wkf2/jyLdzsUDDevkBLe5Sx5szyXHz6/avpZijbgrCb3dl5yu1nUV6HCTsg9miePk5L4P+NnXB4G
allNB1xE1EhsLGbKNbj7ze7xY575gc9Vz+njh9dy4lsd9YitqDvkIrT7il0naMnm0Bi06junSZtF
3nIbjbQqsojBUMuEwb4FerNKlXV38zJpZT2mzkUN2mLCe3nVsqP6FqljzLXcu4mIyvI5QN9iR2hJ
0K6OSihpC8Qlt0uwNmrBMSB1KZrZ7Qnwdd/x4rWN+I54m1Ly50I+UNSbLi/dEW5c8RALcph7+iM/
ISMpg9ADqsUS2UrToVcbe5/du5h0w6KTvuCQ0uB2Rz/QTRUYm2cK2TXc2llvIaZ7xIPjq48xuNhg
cRct1lvTrZ0fyJQ2eHh3NCN2Ghm9N0rA47MLgg0y5g2EyZ0kbZ+vu8/7Z966kCLTxyKHoL+7aIHY
C47KHqDCeSl3+aLa7kW9LR8ESPzZU07fqeeh28/Ut8D00jLb9LPLBNFD6zkOyqJswSNN16fVAONA
ikiaprrMlWfY+YY/6JHm3n3HXW6faOy8zzF3zR89cMIlFUiZnJO77T6+1W9Td/kFahUDKOT15Cl+
vbJCZyrPFdLwIwX+CXgC+YJGduF3K4cdcWYKvTaQ6K5btZtqxYB9qGZo1i+K326Kwv10UpjAcJyl
yTgTmqE0GsNnqBqM+Rj6aZTFgn94nsCYx2mW5Hxd55flmUKthyRZtuvJhQRECx9z/ft894ubey9C
+dWZOtCwaSR7t+De+vsPBCDocykDzxGFAYdKJ0hj+cf08sLhH1rYLZt1uW5eixfusXcpwgzJk7Up
UPkjyhFkWEfFv3pMe79aPqfWpov7eHJu3dv8EXE37yZCaQTkcf8lqvnBO6M8+fhE8hicQtt3j5Rw
Xh1bYheen16ydfWixQ51yFubOGGT3F75BTA81e4FeEd6UzMU7pXqWW/GG+r2KwXv221eh5Q/7uAJ
9OXuc/jU76bd232aBSVDNfqKfw74wIsxPcf9pJ844e3ViJ3wEuaJ8lkvpU/zW9miKjodbxskKkE3
KbZIyhF2vV83oRNeo3auQByWsebzfIPHr688zvl3GVyWw+vZ8khGqNcDhAKBSiFeBrdvbXoOTOaF
uPv94O0ddysFmbtFdHTJhbgIIt9VPZQxvEFAKK27Lfw8gB7yBXIF+SDmXf0uB1qYQ3coM4QiSKJM
bpj0lwlESjYjtWcBCNrCmHYv8ut9SU1/UA8WklqokgMalZkEMrdQAStssJo7z4L5nbsbCn3O1U36
u3ufMDqrW+ddFyhmQpRh7ufTJe6te6Rkc8W1puOkqIETKbzvKzRS+dQKn4wnl/acPCIT2czpq120
m2bTcrZ+Usbi8g0u+jlDiHNZKTOTtC3gdrjYclpO0+R6eKDp6SdIBSYZj+fOu5n5JmxeHN63dxQu
9YqrtxP0/6UayeSMLAoTLsg5ouzvCAkE2tPZKw9i02pj6uIcyaHqMb6MlMNiJmND3SN2MqgWxf0U
44e9oYVj6Y7FVlo2uwYxssAsUdWfb5/aKbifw1v7jY7vvX7XD/LBrtw6I+iV7uXqP8FIbcIkAsaJ
YcdzAlexahZMFXd0t86miVpvqR6MsJvY8DwVJR12ACUsNzX729krVLQUuAT46JnHco63GcqFykIK
5Lyqy1ShwGwoxo96BpjrIXFWIue1hDHaaPMxQgWZ5BNpPlItzcuZvqSs1pf6spypy1uYTZTINkpX
93XfCXLADt2t3DcTTODmjx4+DL6Ie0E91X0KT5/74bfij02NDInkidctT/eHlRGIn5COzVtK+qFA
4+PJy/G0tV7HxF4KjHGMJWQmlWcWhXeyClEbPqRw5GlculBeXq/BmAaQ91bdeE9pdpU+bsd8Bvxa
BfcpiNS98MZnYM6yOSDJONWmlzTsVK/9MN6q8LS0JzZQrhV0lyBXwpMS9OCpB06/yJSZqgWn3ZUb
tLwRyp8bQ3qBHoUrVupVGl8CIxgX7CjiK4H9CnQfioyMe4wMJOSMC9HFrRaCj2J3cvVMR5R2XH3D
CrpHtm2oM/A8DnyJn574MkX9/bwdWjb3lnc7+Rv3Z1heUQoVxM1+dbIO/jGqdzXWHOwV5VuRCmSh
t71ZM3v42ftAkT+iBnq/bputmkVVOXl2RwXvQn2aG+1OziI0OKcNADMTFgQEym8IgZ3c/P3Zh7J/
GPx6gaABEbqMimjwn4Hg08CTdne05NdJb7rXyTNQKcBvv17gkvanjRDA3Pwbj1M8ZJiCH84zIGMZ
Lf+seWNCfWVERnTetrN0iWEmeOcBBfryyofE4Z4BNfDMePjVolhI63SpdG6JXyH/AgWjGDt2OwAr
ypzFol7gj8jQWu373XkibkbAa/fD/fCsAzWnEMxXuTPpDqiZmu0FUUM0kGcushVM5KxGzHGKT3G+
6nfMMspFjk1lZmzQfVDjtbeoMEIqw5YRdaJ2ZqfJDWiQfXwAn9LW+rKZdTvQLMALfvsGHGUuz5N2
Yi8BSiojPKlJZ2N3mXEcajI+X+/s5TNhbbFV6yEzKbgnfSK/PI7tPpvJLwaz6QQA99LszZNbG+7w
5QDXLswvKtZoXKhbqwrGdT6x5sb6PMO6ED6T0wH8pjhUu9vemo9JvpXW3c4BHnnw2KSo3ALUHSiF
LyBewrHQngLAl+cPA3ue2Ef7WPKJdnaeaDzsftcByDSzy07eS3OgmJuLf2jLeMDQQCz3AbREwKNK
gCuGfbEgneA0zKPAWN/2HWlR4ypRPktja56+OIMnH88Tw+CJ6Ue1mDFQjOb6tADZ4tsE3MlY28ty
YkRgTDl/5RNnDlRmLsXpx8RcVjvxWeXh60eGUxmCR9i06wdLrQsyprXbzPgUm16gnbyWeZ+IVUTy
RMlruo+wY7UeU39jT9iEWGlvReWediiKJqxDICrW4RsBz1sdvzP3+1sEI4RZxY/FkhZHqF3nIH07
pGJ+HRNI4HcCeWl83MIHgaj1eVLX4xXw7CNn8oMTzHBzBbJ/u6PLE4JGChliOzDtiPbuIKbSyXRB
UTNw6giOeNkF4vURdntgUuA78eQ98m+uWywtI2LxeuL3hFjbfXcSXB6zC58w3dm78qP8qHvTXR21
Dcj/r0+/P4PLwkrEor0HJTYl9w3FHgsYKZQPm80dr7jExYJlpL7fAUr4YO5JXj6PVsQrEZ3F0U3x
uTeUt8gUgdq6gBHgClgsXo1kqnbzSTl7U7H7zC3v9KNEHWfDiPNiRHzO8bhwI3qEhGLqQ+5G3GHq
OhEWGUuEBvUWpcsyi06LVPHBhoGVlXPAXLtSAjpu3vnmSzm5CuiingK4SMoa3EY6B8B6GI5Ae4GG
VdcuPk4Liwt8+P0OKPuRRQ8uFEUd40eAUoklxKYFn2I+ohcTk/0Rio2s/ql25UTx3tFAIex6+BYz
/OYPVoylxxELRFw3mgvN40q3rBtrXe2kuTXXPvKZxpstlg4eIe4LieaVQz2w5OD4OrB7vTD9eAb2
seLytGQIHYGvMuW7Hya7vD9LCecwoYFab0R/t9HRSvS7Z/AMBr/5MkPU1m+rFRQZk2OVhm9Y5ZBF
WImTtBM4hD3XY0R3HizKzHjAYXZHgYifMmnZsY7vxQJN3aMKGRNnXe+0yHypdlcCzr6RV4CARXes
sRKwYJsVwLKYCMWECJGSLJDBzUWAEvs3fKH3DMSEYtYt5NBQt+nyWrwWVNYcBhJArNS7p0RH0MSk
V6CL2NyYSd3u4i4Kobto3eyl9hLwrYCUill0cYvDO+JacP+K78AHPyQc5CI3l5MTd/lZwhiGoZCx
7Fl2Yo6CsXE5DHv0mKnhafP8FQRmdy8lHjjzYgdCJx8Fn/AIByKVw/x7hPdEwvjoET7JjGNKcAi0
oESFnQX2SzODpnGlCBlJOxFrJGdGHsoJmSQ74hgUsVjNQIj9ztYOZTMpoHq/Hen79vzSshK8Gb3c
OE4rdeoUK6sJH6OfQtqmxrwwFTcDbH5+VWpIueoaj3NYPLgr+IKHl2VEjwuKERQfN7fT/dNH2r0V
Q3TP2OndFsk7bqk4baOSFJlaeAFiP/r/KZDd/1W+KFRgCCIcA02EgQ/639WDrKpD/324sZtgAd80
w6H6N+gcwN9vx/sTnTMMzqNYYF+/4LTfhCHCs+Qoqo0kRbid/oLOGbpiKramW4owUPHSn8IQQ0ZO
gp8Je5WlILT4F4QhuiykbX8D5wxN1oVuEle8Yv8NnHOyR59VCji8ObidUF18WDdP/2nJ0M9+uTEa
xI7+ZQzPT3KzxLm8qwjcbV/aV1/2T3vfPEw3ix1KmxUWav42zK+KPC33nG5+05JHFZvausgWKCty
B6cRoDU2WzkWOH7YUneIr3ah2fEdkGGYtgsZumihqa7O8sKFvdNCOVCDPC7jcTIsFF93PErAz9sG
PGaq+PgH7Artu2+174WKH10Bw9nIqIrZyFFB+v0Efvtc+0Pu8RK+DVRho4dqT1J9xHpVCmND0J+2
V/fkxABJvOukri5AGnfPrgNkfRSOoCQ6ShQ14oNgLCrSSFcqZ5nj3Uyh52uklxPnGsPsvrmpUUEi
JFQd2AWGlWZu72qcYTKC3T4d21LCD1PfwlPqKRutTioLUYhrayv1RMiNjwgKrz9X3oULIluNXrbK
52UEqQkYNF6is4zxXo1zvPIh9RXDl/nd4LVm3MOWZeTVY9T6MsLTn47MAu3ZuDo1Kw38Zoc5tXv4
p4Mot6h+upC9sUIc0M6zLSkUaYg5ldIgcyKZwIY22z6y8QxYwblLdq1xcQ9OD7oDhNJaLtn0rAda
mti2YnNPVn+DNL5452vc7ayI+OuPlwGs0c23FUJ0RIq2V7IZL6GQyM7sLGAXfyprh5z0Eeo97BOa
+niUZtnEwLbv1lB13UxGU/DR48g1XEaNkklGUfh56dxxLdXJaQcWOsuyYIxIwPLZqt2TaQ2Z3yeP
4/0cSPOnoJrhJmU9GHTI36WRvukO2yJbfSCru/QF/4Ds6sprSYsC1NroEtjxmvYN+/L56p3Lxr+z
YTdG7muQ4eBtNhlGdbr4Le6xAO0q79Xez1v8x0jX6yZMB5zcsp57+rC54HeQ0k2DXU2bSFs+gusu
sraAfoCM9uP19Nq9ph5oqbmAzjN6n2u4FAs80Sqae+SHCn4DDg0JaS+6IuqpDwj6WmyeXTTZvwT8
WOP8HJavWXbR/fW8PCXlyxDnyMnzMPfv3+rUgwb066DB8qEFeBA3Ij9oEaPi05nhmPlpUCqsnCqp
glKf5TiY9KW9OemLLou5pgIJrmIFN5zwQABYMr708fM/ZZv5v0l1SGjHforzFArm31UdLm89xA/7
yz/ZWX4/xl92FhsTrW3RxkTTf7UF+YvkUEVpaNqaIhtoDn/jfQyVFyzZ+t8NSH7bWdBAsx+hnv8X
dxYkjr/tLH+IqmHF6HViCxZJ/5vo8CRfu1SVsxzSxbeHOQRz0LhnTGdw5/gvZ+1GoIHkQT/F1+1w
BokgDB/LRT+ThhCYnQ4acJ+nFEmfaK5RrMzkOaOgPFAjr+4gqGowAvmNCMDAywIBqlEyu4Wx0fuU
zzmRFNqeFF58YWo/TYZE5qsGDJM9LaQJA8pqEHNXfOHu9E9hE5mkaQ0nD3PdTSdSgDZoxAeqTbcC
xsPu6WthFqcRMOlB/cmmNPYAzLe3aQjy3EbZqz7RFjo1oNo9AmhbvEjlojYCaDGvr+PreiznDZ0l
iBE9jTxO5/3NgS8K8ae00Zl44hBXauKLbngXos2DqFMTfeor1svo0r41xKXO3uI3GjRXViAmOmzM
/TR9yV6loJFik6SSQgVlgNEkSHm0JjG0yfc9X/aND7qRuu6NNS8aOJwU2JaVKUmhcN5kZ3CVPrDp
CoCp5sKPJwPdX3SmVJVDApDVVx5NHpByUKbeZvfzS5O677PLgkrSPahXIcaZyQCc0kodNr3o1MAf
1bphA9wyFvQjCGquaHAwuwliOukfByAVeh8MZ3d8r9gVP+9AQSYFkv8O6HTGTbg6qZGVsgu3C+uj
uM2QB5iXOSonQpKhvGtl8CxiVNfp2VvcZmmTXG8bc5jbiHcav+De6usEswrC/EthhZ8tQsdywdSi
YUqjz++3xem16pfmAp4KyzOhbWj8voj4oYgIfDeSboXqw4ovbHqda9P9Y5tpE4wTk5oNGKyTbbGs
vQK94Q7ZuTW4wBbYma/TjCB8funm0uQ2lRf1vjvqc3s+JNkB7eF9/0i60FplL/ny+jY+hA/a0lxk
PtbEjITgT1uOK2vrrJB7l+7Zr9bnk6tjPytd9c15hwxrP2P2qz/YNYdye9xr72V4Du/R/+thmQ5H
mmkQkeHURdz6d5L///KP/1rhLM7HQ/cFUf+rC9S3FH3XLJl//Pf7v22V8Pdj/xmubVJ2XTFk0fZJ
JRr+Ga0dRZMt2bRskc//ztIbYuOAM5dVUzMtsvM/o7VOEMesIqO3tqDx/5U6QNGd351TlC+ao9IS
SzVNm2JEN4VH5i8svVlmVWWWBSxvsxgSJKtCORPALmteB8giPVw56p4LmnMEPZ1FntfghP6wnRAV
HDzdZZQ9vccDQVzegGjnAb4p6+KHzgX/c6hdEfe5j+rlPHr1KVBuXtl6Iu3GOJ0Fw91/dmvrOb37
54OMZQMZjyo47wt2PzLGwyMwxzi7LDLgeUyHh4cSwdQaZKvHUl2zVxS3CIUUh+mTMVQTHVVS9AD1
PgUP29NBpY0Q2rUDRaHgByXd0laBFgJNG3KQ/iT04bxLJ1flsoboKbvX12c/Vb8tFdwtAwlSBmp0
gMNIelVfUMtM9Pf+bbx6wqdz+rrP7jM2JtiV00qDCqONlK9GqIN7H752uHj25ZIoF+8aIL1rA+PF
4hUhfhfumxErF2ZHSKWF4FYzKK3+S7n6GWSXhVvHYN8g22R7Oi2He9BPyzkm0/oNegC2c2pPKFmh
Iaf18rzuilDIb8lZQTpdGB5lazPwT4g8KqipM7VK/GXWtO/Z+0Yf95CLzwiGrCrgxjh5XBN+2qAP
VXTN9SSNbPpf2POn4ueWn+/MbtMrvmy4N/jHy4QvxBfZ4oKIHp+4jBUeipxLuOAjuoQQdKZX+VKb
oDbb4eLP0KMnCA2rr35r/yiqSzsqFTz4GsoqW7OJI+keVmidkcilSnKZlYuHyBoWo5B5VLN6Jq/1
9VmJ6OTRz0RlKHv7DnJakIm0K4Cr5DbZDejydY6lN1ICCFgIWx/IyTUC2iIJqreMAHrjJzs77DlG
vRp2VnCaNabgZ2zSrgmck+MhA/X2Of0DbF+TPWczkmHkvPMiTsyphfKaKg22FwvQxKaJBDOP5EL3
NN/iPcQVt8Dx6WDtt2asjhSbPn8KcNRnfPbqtxwhJKLlwf9u0VGjMV05mwuJeqQClitB+p6tm+h5
SZ7xfWquzHfUu9bZ7bA8T6rPkWwKGjsPtk/3iKiCNQuubn0IkHrpuBZXr164yIHZqLlN0ARkBZC9
KtTjOFN/FJaKnCBOuLofZiLGrNiXiUSbBkNmuB6rBo0omu3K8i/pyvKyCAlbLE9UPIhGcIlPLBPU
2G8aSRzpU49R2nU8+eK2NVCv2qxT2T990rqAf9MWS2GSgcEV2gckIoruQqdnVtLTcUzb9KgWGGVL
mGRvt1hZXKbD+8PwEBfCzokOXNQ51B0Ivv2RB/JN3a25FH127537SMVJFZSQhbq/KlHD5xO8+8DY
1Q6o8hGOoM46JAGAuoL+/iD6Q4wCQb2BmX+vOmpE8zj44pcX6UUJcNEvXynf+X09xmOkLToWXZY0
UYNFYrW5BFqEOPZK+c0tOR48/7pC/siLPQ8q520SqGgN88bdgBPQPYugKKi+I1ByYoDzIjkEi4Sc
KybFDgzw2LsSjRusTe7NZo8QsoLU0r2Fes3zoMWeu3gpQ1TfOXJJd9X/oWMniQT5Ho6pM+9A21Ma
SgFlQy3V7gFyaN17eiiBekMnLJAbK668zGZ1bH9lqKTpJ4afPs4SlBeBFFw+8dOI51hG3OurGMs8
uk+doIsv0xv9+upkjO5AvaYvMdZHyJ5ASYY9mmpQe8piHG6ohayA1ETTUCvfpjkZkD614woOrQV0
FkxWho8TXL1j/jyFbF/QwSDZ/vWFbJYea0SDpfx5Xhqo/nEZBHVAV6sNXEAzuSzk2WMrZV4F3NpM
momMzVqPL5Ea92spuW7VmXr1L3TtoPGA5mk/MpWuAL2BH9Q15A8gcjoswNeLBb0RNmpIf50ELmY9
Gvurn4YOw8BzwFEIB+5hHbgjf1c2DmF0/Xb1ncqnRp/cSBJX6svpx4TCFVr/0vvmQN59QyKPr/G8
HQhZs2pgfqHfYvuga5iB4JuObBPZNxKdDoZ0IQMiEUSowhUAwgRVcp9bppfY09R2q7i8nZIns4hW
EZCGoh3C+bLsr2FBg5McGsRXhOYegS7y1YLWYdXhIiwtBZ13Sicc1Mr9XO7v/k5zH3zFJzcBaqmX
eT1VK+wxV2Nqmzg/3AaQ5jgkqNMQ1ZnNQm0Gd9yjLrWWFu1CvIzOgmrCdxXu7WASfhlHLK1sZrCu
6UquVw+vP5pzZVkypSG6UMCF18zlv/49f2stkDx3iKT4HmZhSuseArEUy+prwd5jeqqZXJF8abF8
W53KAOC8ip7FUZoY93mFzRXgHRDEedeou7BxXILG/NDlzwc+HIv8vIlHvSUt3zTnffHATzzn+3Bl
U0YObkethQU044bINB7ZvCeJfxBhfu5WjNbtVkyM06btNyfoWSXS4MvZTZrADooI+1H9Xc8zi3Bw
/zFvKxtE6iULq+/H2yOuPbB5YDhkbR4w/ONNXDcI/Se/AcZ/o10BKL9W7K4N7LG+FH1vRE1Fr0Do
PMKADrUJBtXMpLmCcr+cOGt44dkInWhFogC6wKEJ3a7mvdfuG9w70xJy7Dii7hexC4olcSCXmCsL
Z/3wzxCLggYUZGafXOIO6/A4pYtIIiLmE8sLOx/TcLURfKboxIN7wD0KaUa6lQ6/RBqzNJThEd/o
hMn7M6a2viJSxOXcRqQhlAuosAlFtF3xiHi4fQRZilv+FwEnw401q1P8mkIWVu5KEJVtBbUiNAH0
muQ7mslA/Azd4x0OrSCGew9DSqyJVkHhjcjnC+oYCmvf7QZpr2xHpEsOjU48koMkXZPPtTtk30Eb
pwF9L6ddRO0aUqyJLe4HnQf2t7vfBqLoR09DtnUhB7vGdoDByL0G+MFM02cN3DzL/3k93DjlO60g
fwicsHpcLIuVjWAhfMRQUGShpgtbKrTTGIt5FQXYZvD1kF5IATpEkjpraSL8Kt2vlzws/Q7eSlCC
gjBSYOnw3njKD1Zlwj++QpqLmHg4AIgTZDO/OiI9VtcQIKCZtbMb0pC7EEW1ZCAijcOGwThLntCC
bPCv+Z8CL1c9kbDR0AS4wKcng0+qxaNTJ87H29vF6xjU1D28/jzo25F6kk+fGA83Qdh5Kijgy+C+
8nE2uH5R0QbGSZhlOt1gngfI+ic1/m2m7zWhraH2P/26W5hi6OYrtOiduaeG2df7+x9EdBfcaMjB
3cDkOvOeje+bzaHfCRUApKB3/UV9IulJtCRdCgW6BSGp/JrRQuzzLiYveQQTC/66C46ClRf8PNp4
tvTK5QSiyQnDx/CIkCmIZzGapwMZNtd0Z5Q5Cl0HQvMollcXmG6aK4vHgD3igtRK90v0cMSMh/FH
dfxby8C/ds1Vfy+cBM4lwDfF0hXF4W/B1fy1cEpT+Xwxn2zjZzIu+EH3c3Qxy/u/hDtQm68vLz8/
u9v/d2irApU0dJtxlCmP/89FufeP/9H/IaFffOfZtxDQLxrgU8nHjI60Xoq6f/y3478tzbE+/3aG
P0tzw9EBKB2FttA67Qz/WpubFhgmDJyFxv9X2f6ngp6HDblnyrKtyfLfzNsG5TyFO3cC/Kv/S7X5
7xPsV2XONekG7Uyo86nTf59ginPNbtZ4ySePKkDSaB1bKOSNGTpaop7D/J7odfKX4fwnfm5c6Bzz
T1rwf4G3+NLphqGpJif//ZxtXlvKSUlPk73QtwOezaSX5/6J0sdaFB46boXyVKHuf5U8y3KV5wtp
A9RH1czMc/Cre8YAtPfT7pR9ebAc4cmWUB8OoU7SgomUSP6TL27YZM81vh1QVPAveuEgeScVKYDQ
UKSlrpnc+6B8HizzeNJ25ydgrjk1aLcIfQNZPwTCe0XCT6ZzmfGD5SJuxyNLrUqbBWyebBdjnFa+
9svX9UAu91MM4QCWVmB9e+avRr28IhikppQMWuihxy7N6a352lvFFbW+IN3mehde2nk7fKCSBwyx
hdowuMw6at96QqdIYwivgbEU1oXyh9Q3GafPaR8DxGbflynQyKYld33SoUxNUIk6y8sQjm/3dm3d
HbALj2TK+Mp3soepDBHkjHaVV/dAvyagRYTj+NWLD1T4qOdrtLuKQ/HabaV9e/YNlU7FLqzemGjR
O/tMomKmfh/lbVfGURah5uunExpT6e9k993jSwrMlfjTTxUGnP2cnJxImrEn1W8W9k8TsjFnzx/j
p7tJtQWIrU3Hn4CbAUTOWre2Z+etFiG66HHt4hxH8/gJ7Ix9C8ADcPqKvIGcI/X6NqJefT6PtyKS
KX79U8OW6l8RWwoc+Ekd3r31U4q6YbWSJ+Nap9vrHcdvAIZEjznHdY/DFxWh6etfFFoPzX2iPR2W
8H6v1/1sRDKGyRuVFI4u+gF05Jk4KLBtMRcj86j6IMj0Dbkc+l25ZbOrErInxDe0gEqXqIfgBIcj
Pd8ZZgbxBYBGiRqaV6FbRVEHg+o4q+72qj6p1mIKl3w2Vr5FIZzShdfv0JEqvmN5yvPjgaifLpOU
+zQUpzfkWn9B+XW8tWznz4Y9GMqygm1YD0fhCjuQ8al0dxPlKX5Go0yak49Sp2zeuSa0gG03Qc2K
QbP7QURXK1FL5rrnrYhxhCwOre9lBfKMHKqREtFjDFHtNci39wAva6n68Ai8nAaUBrD6k3d7b7I6
aC1tqvR7e5JLIruhbzCMX8Q7OOYQsmmlS0SjDp2SewURLuOqoKDaUqsKFR8FyED/5xkZ3M07b0G7
3WaL2CdHksVB0a/SquXdozypkCBRmlwBeHh3yxXQcQY7792NSF75j1/hFY6ciAusqNUaukdSQoGw
9ZaPRk8/MjLqUSUjj2SsgO7Z/qDf3f20rseJDiJ/jVOPjmUA7UW0BtiwsFlGtXGanl7pKg1ohE+d
/sQnDOSPpvfKq/pRFdHTCrTJzvh6EGp6TLCR1bwqMD5ZQTOGCPdJ9R9kB/+UBLM09gebvQWxye9x
1KqvD/vZ5fmkvrz3V7wJdKBF/DC80cf0PziVzrbyT4K2ZVrgwbas2vbfTqbepLt0fnAyzf5EzoGj
BC9qqkRDIB3hO3Cl0kL93vlX2mIXEO2Czy3VQ0+pT2Yc01aZvGVTz+krEyyeWHID5au3JsVMwsIN
qx+C3va0Olqd5Vi1vZ6Wk3LclTObfhM04qCv1SCMiwOzdVfYSA9q7+tpU3g4rzc5Fq7O51u+sI6j
MLvQHd6ZXO5zes7RzZmGENc4X5ycSLklcjkROT+HYqNp3nTAl8/yM2Mlccm0PXfNd3uS+n/UKNQh
dBqY0AVSzU23hUBp0UISzzrEAmmUy7HGfLIqz/5I13W6fFYhGww2rTQNKAfttbm+gTkQAuFYZrnt
PQnJE+vFoBcTYn2f6B+VRihzU678k0ouvSDT1Xlu0O4aGK4mTC2Lx66+WhP5GUUr4f04Y599T7Hw
XAILow1Ct9Unqjf3WtOAA0l6lbC34PyvrmYoWclZa91vrPaVMSdS08/wabJV4PspAyFHpddhKRog
EkXhtPgBvz7x1lqc6ef0ykpipSHWtuhwOutI+unYHF7LWVFOJC0N/zC4yvlGahKit7NoFn/0P8FS
CrNqtVvaChd2/GhO7sXc9FpcmoMHLmvhTKNrikUxCvjg3EL5HcCR/wMAD+8kHQBs0yJACBA0BPMR
cq8vthps3w3WT/zRhg1+4X7XV7EC6s8+ACqevvS0kGIhp2jj4/4tNShtHumG3sk4rF/TreH4F2r8
7Gv0O+VgNUFpfmNLbo8SLfONzenzRuESm1vtVahlnZ9q89xd5UW16QuYQ/7HCNdJdvess0+4uz8t
74b07kEhBnNJh3Rk4d6i3lDqSPMWGfZ1VrtNHlq025tINCEEWKFVMnJmoSDsTP81X9khhPU8tj3H
v7mIMDroWzqQ0Kn+qgTwb+3baY5hTU+nyh4RyYM9klrrVQOz8MzXhwjBwK8STU/oZ1LtnRMNErHz
p1WgHNGBtG9Dvyh/yUaMlbk4f0rb9XV6CkSXBuZk6ms08TBvYUrTxQKhNtJCxJs0xSKT2NRo2LGl
4DcEK1yYrO//Sd557jiObVn6VeYFCNCbPwOMaOS9QlLEH0HhaESKXiT19POdrL6dVVm3a7oGaKBN
ZVYiM4xCjvucs/da37LBxMUjCxF8Kt4D/I52l49wc/lojj6IBLN1XVGRVY+/caYF9S8aCeQPxMbS
3MmXeWa8KYnPFLSeM4CHLcV5tASV+PAfOu+8UaLthT9PxTZ5NDZKmIz+eu9piEHTr1tP22Ivrurs
n5lH/bFkqlZu6I9bjlC6cOkoWeUZx3NqTTOcRYL/4Mb5UZowfKq8guW3cdv7SKXPOmuSEax48PLJ
BqoQ9sBTetAA1ViPY5GCZHm9YVD8rib2Ip1XtEifS1hn5axSjmZ8ZB4vyS4dUhVQGuTr9k2jeSwd
HubKfswVln/MfjKtD+iQf/2AzX9Wtn//gMUT8rvJW9aUvVOm7O816GA4BLTHiQfdF5O8XCRQfMY6
grh4Ij+kUcL0H5eWsHdxzsS6uVAiPy9ZsqUz+mhcBrzPFjmdELiHzAl2Tx+UyDlD5j9DhdRdXuoP
WfuYFG83ZmE0wBs3bqdaLmYIa/Hf8m2Zj5bpNP5+5Iu/fpz/r9dVHDl+9zCjh6MoT4nXNW7tEZiK
VzYqTTy+4Jz66x+k/THG5rfDy++f0F8OTI+HYz2HnCdUqs/QfSvqREKPnglKhy12hJ2TP004Lbvx
F7qE5IU9jmdt7GxU0ptELADPDsn1CCgqH1Bo8t7/Y07v/5UEtVi8bcVA4ooH/q9n6v/nnuTtn2RO
v37/7w7nGgdwg9YKiQHCjf67wbkpw0aTAav9Q1v783BuarRjLBk1k2PbKm+2n4Nzsgc4RaPJ1UVo
wd/KTNJ1RvB/Klcms3NFxmRvyNYvbza+9mI/bxmnc5xA1O0DmwSAZ2BYtIX+XbUwLGbldXgAbh0z
aNOZuom5rbXj2FNNQjV4JIeQZVZC6ON3LCDH3pNiggL4+ku0bhOBZYWzCeSTSRdbIH+279gVGZHX
CHM7/lNqAyE2u2wla/v4iYoVeiGMNWnP/NjGj1uBRmJMuH1CuG/HDEnd936rAfmyXJio9hdUUbSr
SHSMlh3ywpg+mHgY03sybiG733D5vjgf2YgtX+s/T+aUh8HwMHXRz7waCFaksb5jG2dMLzRLL6P6
Gq6Yi34woDU4CSTYemeNLnbrD43Dn6dqQWus8nRj3ZZ3fgAM5yHDQXGZYGdXFsQQxfhA6E9HEyjN
7ANODW4Z1bvQ9qB7+Rx1V5TFDvD58yVelMPKnA6witi50H2rgyDoVh3nRxrKLmN++CAr+QhvdyWJ
Me4uXj5Fy8AjdmbFCBNY6fxySJuRwzh4FDW+8EKG0fIZsBdt/TpcZsprLo/tlzoVfWTO/P28LRxm
F8C5LTxbyLdqjWJ9Nydh+MXwbCxavM1cgurBeNZYki1UsG84McxZxrPbl7O7ienbNB6rU8AgnfZY
hHbEYFe1FpGlTdWo8+pW7tFLuM1wHxmJM8afE74omA7ZEXKm9Wwbe+VHrTHrmtzpijwZmOsfKSBe
L4JbE3BVfKj6TLoBmGenfpvIKHRtZBvKWD4zCbvEtBxgX9/HcXRtkczhN5b8mqlyOEv1VWm8pWkI
tlO+4QUy3DEaXokhA3aeBxJb5U3FkJQo464ZZ9XZeksfjMYvM3rF4XRQ3BfQRUE3T5c0nvnGt/So
suXew2xuAxNqzwDk1FXxR5XIkRF78OLXYO1BzdCoTrfN9o7FzUWGq+9u+Szl7Kmhj2J536SZs+zv
9NZX7KjS/Cph+Xi1Fhw/2WlpKL0YP/uWJ5S3ydJkDFkgNUOOZmyIqZGkKRsEO8RB7SVfTo1v8pWg
IR2F7cD7UAI/F83rT80fSH2okSqok7rZXIBr6cjMd92oeVE+pSmJTe8a1pRt/H2MUWTfAcjlgWwj
9qK/EX21p3YezZKeDhOdiNl9XA3jtDn3j6AewCuMtaBoXxsYt54NsoCB0aN2o+X98pUy9rFHzA+T
HSed7DK3MKS2WIboZwAT4HIXJ61KZZaoL7tZtIw/80MGFI9cHDUcWZ/lu5Jg2mXHdrsFPxbV/8lE
UI7kwFEsuCT6Xy9YXp6myL9+QFvWVYYTpP/T8mX8cms/ly8O5KwOOpvZPwX+sVVBb2uZ/1jYfq5e
tI+JLzNNw/oR+vf71Us3SbNhZ6zTC6ZZ/XdayzQg/rB6/YvqS5fxmhjgWVhm/7gpU4xHnfWKI/ae
W5qScaXvOT8Y6+7JmFQr5DmyI9t90hVFB3anMYl8l26ovT3rwzoE4DnL5RKYA+eOoJv1QSczbYWL
aNkbWa9nXNnQ3V64ENLeBamVIJPwBG73Kw6G+f0rpVbdR5K+omjcX8iLwfTUXkjZoKVpXMM74yMC
IyLtUIbL2g+smpMJo91D9XlvuUejW7h8cnSxPPCLN9qIwqMbZPU77WFzfEc1HLOs4gULBkCV6hYb
C3Ky20T5oFMRYdBPpw+AG9qdUWgzuPBOOiRgYT8aeBStf7ntZdQGd5q09uCCfQRCBQZFAwvaq0iR
+6DFVncToJo+EDxIOgH9nkZ57TN37oM7EqzaWSk6Rycfgg1sG75UFwqmbw3Z8b44h9/FObfZkQ75
Z1vflg6LSlVN+vRcGTjZJBAOJNMFdBH6ctzed7s0G+PPKKfJTrnNcMA9kPzgfOfAGq11ZZ6oh7w+
Sw8UPE+613OtHKf6NJZ6qltA6p+Oqgu+5WXZoN+LPKCRM62bo8QTVhs6hm51YI9RCb2HJBEbd+iu
UBlvjOviA70zY9ZQv/OIcuO15JFM8S/eX0OWoVu+HsyOuWk2TRsL0ibNaIN+UdUwpjPnuND7mVBL
lMnCbvDR7czHRB5WWl3t1fgl45lqeZPV4wZbiPqFry9HsYafFrc3tgabcXT+8sST0HG3IcyQ6JIT
HchfJ/kwq/X9DRwCS374lnjhbZzTQp6Jz55gevgw8CdId7AXio/ly9J0Ufglqp84QVKNudnnexji
KmIrIm4u2XPb4VvM7ZQ/TMu94mI0vXQnljGgchGHbDRh+6GMgoShACFAFkxqY1QgbL8zCMQQc1/L
zuj5JNauZnpJr1m5nJz7RnVQFNFzAJwSBar63Xek6SDUmnTvxYvV3DZAt9QPAbyTtgneW9ycFZpi
F8DBcBaGUVIcGfpjekSyRFYdUKLSLSyv5Ak06c6uL1APZqDEBzqg5/QoPzePfHUDoCb+5/P2sAqH
u1t902QW9ypizmringcFe/8CHXCb3thvZt4ehTr38+YqeBK5Hr9Zz9IiUBmBn0yTnI9X2tbGqQRq
/45gm2s6V/2MaLvbxN4iL/HFPL4dfX8TnvBqj2qaFahTImazp00G8maEMdzkQDaHkNb4SU2CRL8f
NDp4F3o4WYLOeRI38zJvlg1Xx6ThKrZpPQVxpox0WsGlhuZ8juZi4JnLCu+C1r4ZxtHWxq3GPjpp
m9+WwH9z0quLkd4ve31GvcSzwsyiv0oF/mO1ZKtfRjItr6ltoDEL/vPXzGfrePK2OF/QRr6h2o2/
6aXAPnp8JAwejuU3AqCapi3VEJM9FQwgwWipoQU6U1GZnIVgKv8HF1K5WSePIIoDiawfrAYTkrXa
eGxGgIFCocl8Tu5x0EMDQ+nJhGZsLrW1haK5AhaIXrUJsiMLZ3OO8LKJLJVonKrER779vsh2YHR+
1tiSyQAFAbklAUK+9SIdtWKcMICzEd6hh0D6gCtPlN3E8C7RriWfYm/d9q8IcZTG7WvNbyBjhNM8
n8Z33XQfeRc4xlmjvcEJfqSiUvpjpZUJ4liY+kp7BJTC7DZ/dnCEHsE9W8JQ22lcWIk1u6/yJXpn
UVkNL9wCiY5GP4rrC6UV2ExMXEDHhZ6HXhl/lnwIGM/+t7LJalLQwGwJg5sgs8niHXIJjUPR8EES
hjK1CSa7LDV5afNJ203f0m3R/ztqagVhQwn+u5VVRfpMVhrkUvb5+98V2CbFQ2jlR6pshLb9+Dp7
mTFjFxk0P4rpbnrYwV2ml1ePeZVGvFcH/FFIfupPCYyIvboxm0Z0KRO6/HxRSDn499ReE7WsUY1b
FXFscQ0fAhp+jT3TDkWZVZD7xkX5H9Mf+y/kBNTpDdmapqoOQZz0iP5tdYswmVdf1/R/rUT6958O
Gr/e0M+Dhol9G70JzSgRJE6X+afBBDYlpg5sf+zvfx4yOP8ajArpXBEvLiILftciswx6ebTPfnMX
/p1DhmqIQ8SvHX2sNtw9oZchff2Py6YgveYhg0l2hj6t6hFp0bheLWD+yN4wmTFTag3yaf0YAPqT
eSEhhOURuTczREx/FS2meonrQCRj5l/TCkrVFOXmWgaSUIy7d/u5JiUAKJ8Ipg63jCgLgy03+tPF
/S7De0btSkOKOpy+8VWpvNLkDRWxOWvIxCFQEi+DD+E7Ds8ahHaSULCiR74+4y7GEjFAbI+YjiXs
nyvEtsU6PYhbF/+m3JEdjiUrn/Mpel7DPj0Y5+5E3BWZhGpQMIYKVLITUxfqdit5ReRgnZC6bJLd
vzNJmaN4IdEg1w6wg21MKGJD/3n5vsyS1+yaF6uHvKGhiGSGrpiweSjv7QAM7l6Nb7TJ5ilZ1V9Z
NGE/Utv+nUX8UhxuJHLphJSrj6nWCPrJqJGZjiEaJ75FyGLQqhvleOgOaBMqVI7tKjRtN0fKqj9o
w9BwuCUgrCblGLsB9CtE6NJX75B2qTwQyNB6mTraVQ4uH5JTTKPysrUbfdcBTqEWDE7vVSWlSZKW
LTabomFSltFtoZsiyaDGbFYUI/TUZ7JxvnERZtBm74rpDQyW45C7WdB9vAoreRox24vhtTwNIllP
GVtfq5hp3xKea37SjeCcWDJnMXt3uR2mYTl+4pZr75MbXZuQVLEdOl7Li+j1NGQPCb0A2x+VT25S
aQKvkvHy6pNR+ONxkA75faqHr9l7ikm6GF9W1vR4k+Z5ziF3lEPz4WcSRjRwvOH0mcyZEmjkPr5H
XySYinE6IXUIX4S0BSjSWPu+Ey7O1Obvd2KW8UeV1/l382vyyh9yisGR8vvXLxEtn3/NMv5PE1Ks
0OcQ0b8Uib8qjsev6rO9/6kokk/8hxv4WRSJAvuhvPiX8cEfiiKVGEmfJqaMv9A3RAwxbRvaLMpv
pfRnZQTYASiDVg5uPmrn36mMWKv/SWXUaedwltDw94mF4fczsQzZn6oqDeZkZXupd0m5lbpmX3QV
VIWIjbnClau0qt8P++phbTPZBr9K05qj7FyKwfw86/GF92MbEyDyBJVjv9WAqRSYVLRQ0k1xe21g
e4LCbHpyG07DMn0eGTU82vK9JKxTi7RZE6e+/jQPt47qgZf3XnzdYuaH0aqsltFJ/gCWhT5vlVjn
doFK+XHhE6BpoMzRs183g9/LS1Q7T2fVHZznRgM+V03Sdowc74GlYIzW4nYlb4fKC6gMCwZt+oOQ
w/vhWIUYqI2Bd2w7HF5HAySZfOakSDoA3J9uCEKMgPiV8S4wCr7NaOxzBv6G8AXM4Zn5pLpX3yT+
8S3o4AQGDOAXwZtjMN2DhrGk+0AUr44WT/oQ94xcvEvoLrpzhwYtxzLWjA0GMy03ClXWhM86s7zm
tbqgLgr1cYXJ4WA2RF2BHoNt3i5z2uPskeEzMHFhoAEvgtY+Yo5lvsX5PS3mWga3dJRJo4JKsUlO
PNC5dCfs6UWGcjmJlwT1In1QDeoIVNoApoec+A773Vpn5VtHYH+ROCDKdjwbcitiSxdvmCUiU4QC
TmE/d1ByH+5HUwUXNuHf5hqrBL3mbbuIz9ZKIWcdpBSiDZ42+u9DIpNFsu+grhX1ZVGDOUa35dgE
esiI7ocFFVii69es1EVRufhnnCM7xTb26s0wXRUQ9xHva27x8KqHd49Oif/yWCKv5N9bQq60fnRH
cj5LRvKBb+boDuCVNWuscVxhIk3G6aydpqkX4SDqYQp/hsKeucgqfQfZCY2ebkHUqicoWCyirZtF
VfMtNqQvVyUdFnmYgohc+AgQs+hna0afh5e2pxWif4QHbQacJB9SlG++zhvlW8Dq9DO6FW6B+NlF
dUV4VtDPjLditzpVp2RhqJ0bJZOBTlN/b7yCowstTzd7bGLvTnQsAYobHndyG8ebrp6gsnEQ/mhW
fMwtHiUTdlLppFFHiKc8N9tj/K5x5BtVycggeDofmHe95lGGiUQF7AeLY36rxmz4MI1I0sSu7VVN
9JAnhTwrdB+fyYS2n22+SjEufUgbMnwwQ8Us002eUemberFtZPn5/7GW/PNV4veLxP/+L7TPZkos
y4plUlL5/VdLyb8w1wEaxtXXn1eUX27n54pimSa4BgtV9y/MDVtHIc4wwTRsVdYo9T932qR4sWio
Ilvw15gvDWQ7kAzFoq30N1nr2o+d9M+d9m9ScTb6Fpx12+KWf5GSWNyJ2Iwe8VRWh0BBapZrxvpW
I1m24rWuOZPe+FDCwTeleoPkrXO6jYLAT6eZaKuvsURBLpGvKebCwpR1VxDdRkk5t+V82r2k9N7M
qebQ3OjqgTzY9W2mTWp3PYKUOhTs/lY9e9Z0I7NXu7HRxazSLZlmjxxcsjG0Y6y4AcnMS+WEl9LN
vpAtn25fNgknJDOfbm/F/g4zugIgXdRj9J9fkI0D56SZY4dM2iUc6Q4UAla5bo6H5/HRsbIwd9xo
E6Qz9VjKpzVtAzDLOOUI37uN1gqSmreocWVj/0xeMSY/BBlyQbF1sY2ZZ5HtaE3wQ++l9+FLfOt9
jVj8FB/Zgk5pkAfZ2yWaiKbJ2Hp33vXcjX1lUi+TdZSjw5pQFGhFtx6dYo2p/lr5cLRPrTgwAHD2
8uVkV3Q53OxFR+YN3yPDSSWsVrdxP5fSZafLk+ecfbtyKeh1Ygo2X2/L21dSeLS5Y4NQqvds/OCj
+WgNLJmAJJ1NvORucHw7xpLFh9AioxnJpmtQJLEys2BUp5B+k5JuMZSiv+Ycsr8xdiHqnjMEplmX
ZYsQUAzl4UzqjlOkiX6C4lx01CU3Z2wyBMiQW+dKvIxYVjECsowoHtC9Wl2wCFlk1lyd7cBugOQN
ivOgLphoHZrimDNICVv1KlrnF/G0sDWn3a24obEiHDLjqfp6zpOg/OKuZjfvtk1R9zIdotn/Ui45
5Mj3alZb5iYllCvhEAfBs/LZ/sCxKoBHdskizNcLe83s/cnAZ/wk98a9mwWro3sjN2aY511D4Niy
+TZTdQ8otAJJQg9vA3tvgERw8WJjLRH7ps6LL9NqGLeUfsqgB5/VlF53ygmA05AUzophLNtbGEr4
wdfysOC7cSt4Eqlt6jy0sPguJXgx6vwpfXcT6RWEIePeyO02cTVVgWF+DMqI9YH3SXpojFXPcIFz
FVPy4uUSBx+mNS4mzycO8Cbod5GCDOnu5fvOrsZaYnvP3NVJn2vGCn5MYpPNFfOHqX4aoBJs+xLF
QCA/ypeiy+e5cbU6//Ku4vTsQH7Zz9csj44FL5nBe8N0w+zgFm5TSAc7VuCpDd3e7GH09g2yB231
988o/73WFaBJIPkc01AgJ1Hb/+3+zf7rLuAgafrnReXXG/m5qKBzRJFEB+c3j9HPzo0jPDgOY+p/
cAB/t6jgy+GgQkYkfZw/tm90DihAAjk+CDuT+ncOKYolZOO/LCrccc5m6MqZV1tCbvc74V7bJE89
6VPmWtneKBEKybpXRQa1xb1/JaqYwUgebldp083v4/oBvXJKDanAgivLoVgJKEae7TVAPyXxTepY
wwWoHREQqy9QMN5s9DkNybr1aq27LQDzfgp8f96sdSyAFhNEl8NMu9XImju2u2ajLapNtXmehvJF
c6DAZtK4L/fW5L6nmTHEXDaCGZQwNCsRYjm3aQoUOo/5cclGyu6rDu1FGheT+2VZdhNecxGSMHA2
qQe/eW5sOh46OTpEtRSgRSpbQkxLxtG7QXxamxL29/mIJV+n5VTkU+PdOCndyURS/ARNirmHWC4g
qY74nSylx9ZSNrYSVLASYlr1FUlCWIoNKIDyW96NjBPLn6mfbK9/R8mdbIhAmLfT0I1hG50bjiGa
xdCbGFFqLEbn2oJ+jTVDDe8VzpJ0c2ktT1WSiaW0jACjGrFYoGFw7YMakXivy/7WScbD7WCZ6eLZ
29unyXGAMHO9Wt8bZ3Kpq4lamvM+rbePqBnnAkvKqID0OakkCYS19WGvw0fxqmW1H4bhOlGijxqT
lMWt/E8vG9jnQP5whdJMNf+ybPyfqL03dYyO/Vo18Vf1zyvIr7f3s4KYKntIW1X/YVP8WUIsjIO4
GBW6ub/FA/0sIQbXNL0PVJKG/iMW+3d9Dlsnr+dfgUV/p4So9Ez+XEN+tEsUnggb5OkvjY7IesZd
ITTOVQ+EX+rcAZ11Jb202czUZlkTGOE8npjMhTaXb3Bgk6a8ofG2R9ZrXDAEf57bZN29O4ADErd6
TPVltNDfSl/dImD4kGtlYrFXlTvLHQi4zs2Ts27VGZaTInlRyiUL+y7RriFmfcdLOZ5P2h2Y9Msi
CdnnoHFc2f04NglRn6q39ws5h5AbWgT7kTs3bwKTUHySaje+fengIdXpk3iT3r9BQn6b2tnn7bur
joBR4ykAy+RIEEbwONxx/7FxYpYHtBSHI9epLZ3viLV7nFvQTqoFSvZLGZjLbBgNGFLw2LCZwweo
F3P6y7UdVLhwaK8i0nfR2uRzJJg1uEuCHKQTXy1PEvQAZz5qPtftkfb3fQp8yKeFrZ3ZyS0DnF2T
ePd+czwxk79s6XBIPl9XOePHcMJaaO4MeXM/3AWhjVyLx4KQFF9FbUirBFOI5DP9e0K9o/BydOZc
TrQFyTUyYUCriNZ1cbDJFTgXBw4bvQfr4cU45BNOwsTA7vTVxY2/eUXs4tvEsq9cERGFnzkJCI7n
0HBFjnfxHxfU+mLBuHxBYKpoV495GGcofShVyO2G81kuefYousIjam/rb/Qrnr5t8ITygh6Nc/EI
es3N0j1CJL4pI+ECq8sI4szmjO1I9zvLe/DLjtwBhw/3MzmYcJy/Cc3AnCnogzbJxK2btjPFfocZ
h2T3PuZ5NBlUPFfob8zsqpDvyXOiLWS6TthYYCNYwEVER2fcJb6MB1K5RmucLCabfG13f++xn0Pq
tI+xdmrar0HdGzuF4NKdE9EH6D70zVN/K7AsKLdzQYcLL2X/gDTbk0Rwx/D/0PRJ3eF4ADj92fNs
8LY6ReCVfoPFZGOBKHiChOLH4d36zLHWVzS6aiip5AN4Dg76rwe6QfIga3JCnl6LjakiBxZuQ+xu
Hgvr7ID1+eal7zENYv/77rJ9pxCc6WrmrsRGD4q7IgkFMQucLGTMcrZHjBh9KtI1X3XHVHcrVr07
HJzzg0Bn4dxCeEvvbwFBWAFvwaMzd7p11p9v6UG8ib+rYe98lNCizvosLdbMf0wkXOVRn2Um0X8B
Ic881iuCUOXMS8YLDySIuKsPe1sBbwFYyr0kp3HEdEU2RnbqPRQua7dzS7KB+xWj9oh4XZiLwTP0
jwAa9v3HWSq9R4ASK6m8dKpUE45oyL3k+5e17hysyHbquD+0bdmxrwgNmCKLCFdIvO4LpHHZqNd9
rTxhhMqVueQII5YwjfiDMscbq/QfXT/GY1sqc9kiSAV7l4oLKg8nNk7DwhYDildSSfnanlEE6F/G
CNq0v9NOFKBXzlRo1dKzXb6VeTsyHke8tczAYqIL0HbuSmsBAjLFldML95g0eJdPpOX1tcGFvYIC
+dH5WXhWAVZEGyxdPJMFj8D0uu7KaEpHobfgY0oAtoqrF2Y7fijoUniKLxg94SUyRu6uCdOY9MSg
bpCg+EzhKGrsohBN9wsZkEzicZewql20UfzVvOuiAyaU7CVzEVJ2dWlq8myVDKLeMdwUBF29dI8D
3/BlrAoyStwMROVG48ElPs9ezHEWUXYGQXEHIctBpQ7bzFPVEb07gZEnshGyYUfreNeIqFEYwmZF
ZK8QEDffpCPQsL6CAuI4iOpB/P6Wtukq4yPRisxZ1FhEVsBuX8le9smnTdca35iNbwXFwkBiMVNH
AonBkcn7joOX1bifIVLm1AnwGA5JBFqHKWRw95GGBWyxcBtVb8lsmNwCbF7XU3kWeQeCCmL86EqK
lEUgP27q46dzE7/i44ioRWpKUtOL3TGas6FdQ5ue0yr1tQaQyOJLmBlvLyG7aRRq3aTXpzfyp5sF
gvYnLLRxv3gCslQpasBQQPGZ4EyiMf5ld4mbGmtaMdVGL8QssFSoELFHlVD1GTvyllaDrwN9031k
xjDfkLdPgFx7otA75BjNiEta6XxC59PJx28UVcEfYQ4Kx0z2BXfVCKyAKCWXYCT8nxRSeCcijU9A
4OCdzUSwEPlvInbKU/lBOaizQ+S+47EehcfOV4DiPRcVI8n7FDdp5/OzYQiIX9lKfDse/oBsN5fP
uIUnWGUDNUB2Gfpyw/jiZ9ZeJcoKGh2jXzguUpDPNULcUFX7OvlGN/LiqVJKoH9TPqp4FF4JsqYU
vZMx1Y8KbfTO374KnN8ip+B5XBWjBekVG6Gp4S8wphgPkHygN3jiyeX4xEYoshi6j4jiyJtCAJzS
HTZm3HOXPfMUMhba6YPp8rQW0bNT8ETAU/AYtguuTjoTBWkYOBXGEthVETedQrMKecvecJ/zXAyI
JW+C3sRsAvdhWx2edUDb/qEd8OvxAjyEQxsszlQFk/OAhcjKNiqWjnfx67k1bWVS1UkSiPcMsOeW
JwX6VjxrZAaCSYScJIWTUp/K6bJ9p2WRvNSndJJMQtcPPzN7Iug09106KYHvuf1YVVYVdNPvDvZz
wPUvoGHHaPV0Sx6cPSlV96UhGBve2lqdDNM89jMHrpc0fhybcGvMuLe36SvtmCpIMbATjLAm5Qeg
UIPi5HMwJ/fvUoReyOc4BKrK/Kgnndsvy4NeLlWuIgPHLmP4aoo9n6eFe/haMhhnPEBeJC59cG67
28Yig8OZyQt58VhZx8cumSfzfsXdxxIX2EEyUeNRFbvZJx5137lNbs7Upnoz8RZFcJo3Z/2MW/au
jvODNAAzj30RZyPyRoZRsSo33adNuNFlxFh+xPV7p5/vIXX1ThCB9tW4cq+wjXa8pXJ3uhP8I/BS
kyggV9y3yOZh2zUmqsNjlDxrFopHp+3JKnFzo28gAtAFZCY8YCpXF7JFskW8EHFQjI5eC2bMgGeJ
HFlO5Y3jixiZGbtkRm55NdVS70fChd8R8WNPw8avgCmRd9G9StcnYTrWG9Ltwb11cxV1MBvKzwTh
joDUj/KzslKZ+gjAoLq5T/IPeHktuxVmKNhATO+OBkJZPIi7UcHhQrldFBMBNe5Bf4IALlgMAruc
5sTnLOEsrCpMQFhcRCaMr5MNVFwvHxbuD2TCcPEQr5mLlvbzqCaLyRnrQb+kpUhuygBiGK/3IvUL
F6O2McXgAuBK5F49ubmm8EmGnz9cbQzUABxCtIKjNLOdpUbcGOla+hjWngshAzW4V0wsPwT4xsQP
2xHMt5A/ib3xuDG/mzYrh/0iKVRMu6xwqQLeq71T+YN7xZWxdaJlt+DNdI7aHboDPL8Q7YPmyE9m
mIiG9tqT3bsuQVBfY3bqHKu7IFG3LEJ0y/e3+3og3I+9DXnZ7GqvCg8E7a5nTzDljuQJiwMRWZWb
eVmgsj7AMuFKfw35olBAvV6BIuAQ+ngtBIvphvUldILm6xYwsyQ80H7NEUyD6gBMTU2NJ9kqOdCy
Z6+DOIWPsT/3lFND45LsQSaLGbxJ+JXw+2Ca7BR+9YCcCB/o/fwj/wh5pwEtPMbg/8xFedbXRHsL
Lfc5O0fHCmuY9a7lGzh5Fv3JFeHuDtiAzFfpqZJbLNhhInyrEIWSwBRWRh2ElUCSMQGD6nVfiQKH
74eVlGoVBvnmeQTIzBfAQ/OEaFFIlyFFoThFBcw1NOYaumwi72u3OS0WiNmuK+hfnGVGi9NiIz7G
P+H8GQOsCEBKV5CGorsJdS3EJ3TzygCtDD+bhPCcjRzCIl5nwDQQDs4MRjng3ecVpzYxZuDsJh6C
aGdrlQBT4IkyG5LZdbJyVOJt6Otilf1BoRKJQOQERM8R7jwYhxAOZyJ4HLv04UbaTwXxZcuLHpGk
uCHjgifDeUnnX5LGVfGYPEYmRzYIaD27NHQioPkA7P8AZ4nUJz0g9alpAufpa/xDGvOoRTiZyHnj
yREFgc2ZpwyuvhdBUy0hNZDThOZ/4rAr982A+iYbNNP4OPW5OuZTzWeIP2f6ensdFhnnxWHPnyLH
zBijDyQ1Z4YxCCzhdKHMLh/tQg5Ye7giYJMLlGNOTpvBHJ6vXkhbXmWHi1U8TlIcWjgPgYbqXDzU
nrssXml59PLKpiV+E4DVm6/7SJRYrrHHicjGD4J2LNdYkrgzqeaWr67ldUxgIDjxKaRNHpEGkpOw
o3ENasyY3Q4EroEPs3h3gwogxBy7ezS6sgwIqp3zRqQI7wVelkBDbBVBd3jNXpuVwrPSwz2fFkeT
1hWgxNGrNst5jcy1iANSeQblz5L329OVtnghKRVPpskMauFVVu7rBzhc3hc4pig6FBlm5EOxbIY1
O0ymLQ4V1CWwlEeYrC8QXmvM2IS+BQ14Uus+kzhUwTg/OC+6gvpcSDF5d/EqRlfxZJP9O+UNx8hj
gYihJDFNZC5Ys5btKl8UTkUAIMA+FEm1n5VLDkucZkLIfB3mgR9/Ja5tDHZz1m+dFwoEIesF2s5s
WbCM2sSyj4aTNJU2MKxfGVpLyTEpX1pjLMGByXfDXNrsayDO58eZHkYFMLma0KDUupONtorxIMQ+
BlROjqaZtM19XmkBwenpgmBy8p6gNSUnlUtH76cXhzPRsMrA2DCCwv9wO4Y1m4rpZWnt9aGnvWBY
06I4NLqv1HRZmjIYEs/shO6sECfSC4BcjRfysdTUq3Tb1mgHyF4u7+PseqdEaoCRWl85g9pwym1C
SIkCeYM+xeBf+gVmv3Zezwe2gvdik1+7nr4JyfS0ByLDrzH+C1ugDOZB9+ydTNCzNEljwKGupcP8
IRTRWOq5BwiEk2Q4ZH6ouMbU3DmfBsP892hpr4jTsHf2aij8J4UADqGxVJQ5TwxCL/I1po3HSVIF
RrAonhvI2OfbkfTf/DNOqEUtujbEFnR9M+TStk/zCMeCyLamPXx31vyJtnqmNeMbpiHW3G5eX/wb
CSwZXonK48wq5cukGZtloL5125DNNzdpwNoQvw3PaXkpJvUM1SGUjZvlGfWMV1HXA0xFl2Uf6HC6
rHUfLO0t/KzkIH5Fm2ZhzrIV/RlqHAPEjb2E7nyO+pyfqWC+uvTrvp5l3/absVdxSaXdvoNtyGKG
HRFwNf2pEuF6O6tCbyB98YmggzwD//GqfGqfwFhymjIHZ6GuCl7nzqUGclVOLlxgYHJpuF8deW6D
1HQO+enej9u2Hmmb56tuzFSGyHda3HG8vuuebF0IVWNC+F4CxcXcvMW+mTwmdAOlhbKRd+ruglnG
lXdSIK+wdNKed8N3cT1xsGoJ7PY8DJPOQd31r/lEhD/AiAisReFVsBlDV/GjebVr6LxB1EDqAaVx
Fc27Q4TvfyMvVs9rfXBmyrE8cHvWrFhdzt1CRkPCQSin04JM5lJ5Q7W0LqvaeX+9ZSwdVFk2nFo6
G1RmIN8pYnp5paSzwiZQBvGpAibLmqMBcaaDenP5HlUiOBM6icSmK/KH+GqA8frueA9zt0AEkXXw
zUam2opjK7MGa56WG0WewDRBs8M9yA/NVQKd9PQFAdSg3N2v8MToBEGVioTjVpxOSAODyti7XJj8
LCCjztYhh+7/knde2a2jWXSeigdgrIUcHo1AgjlJJKUXLIkSAYIBGQT45Dl4FB6HZ+KR+Pt1q/uG
qm77PvRDu+uqJIoBDCL/cM7e304I8ImIoBQYUsG+NRiMbvNiRDYdY/5lfTN5UgKNwjYWW8+TPCiY
FSmVDTA5wdQi7Q7B1IKFUeKre4V05HEt7dCgTrtzGOF5MFHKsI9Et8r9WEMDVS9QqiusXgIxiR7C
vACRsgmjtUUU4/Sl7wfJY3GN8bQKWqS07I7sApI5CZMJN7OGGc9n4ayYCqRVwyLy9OSsMKMN8y02
hzdxjrBLAZPIt/y7+t2R3dVerkm5vNujG7lDhxuXKOBUMWFsWdxdtjWjbrM/9wMkVLe7r5Z7FScz
2iHPeWUIBkW5SLdNqHn6yhgZy2oHCiJ2KG2xwgeKCvNzZ54WWQ0D+bGvYESkw2pnLQG3zBCZdiDT
AjMQhJKMaiV7AS/Olf94ibyK2lKlCYrA5v/WYn073SBA/jcarQL36H7SbG2bv+q3/nzE790SxOjk
MCiqZmgGPdcfZaG0Q0B5ypbypfGhkfG9XUK7lTwGkyvI4tY/CuY5R8cURgv3CyH5W+0SWyBu/tRx
/f7QzV87rnGVt6pxggwuMd828cusu9Ol69+KzAqv0FlIfhpr6tJIhnfHK2677L7WbQxc04pE7HfY
wwOkKvYEcXppdi7i7pVDC6OB9Y9XkQX4utCwq+vkzRCNTeDApPTPx+uxSrx6rw4xVLL5HTU0GA+U
V6mzslRgkimODjBzxZWZclUXNyvorEBzKN4l4jzwyVb+9DhdveZ4K/2TuX/YLN2B9VNJF8J2qART
EMoLSXiMwUlnGu496owmrVRUCNXx5Dzm9wu1nOQ6lLHh3qm9wmlJjEqcxHrMvaCEQOOuUGzCY8XG
C2jeloWKGi1puzIxPhzxaAvWYpjm5SHnWJM7aGfXkTztLqGixLOJanILwU+5zq7oJnUWBKP0KBHQ
Q8UCRVEyOgd2Pig6usOIa/HKZdfPiFoF0F2a0mjnyYHJLawJuyJFYtOzKFBL2ts6YAXklGMpHYMJ
hJPvqQ/lnfGCUo2tHyR7rlqI1IMHOw6tWMb31Vks+cSqj5LvYyblRFjns1NP/tdO3+nvmLju6LWs
yCGQF9PzOTDxUr1bNKQrGtPOA0mU9GTQrnZoW+fZsqoCk1fGISyC3kZ+D1N5lmi3sKPpbVWXuZIu
73d5bHSmr7A1aSjumrTKe1rmHa1z0mWuGzO8FxuFtrpKR6QrnvtdO2/noszSLI1nFRjUyhBoHJK2
PY35ZWFP8rGoI/Hn9SjNNIQmM5XOq5fOU54J+lGKrfVYmLBHGu9xx5BrrtGKBQUKgXJ2U2a8Gmd2
7C2KpA6Uvg2QL8AvcFYn2adEKs9V904KOpi6RMW0PkkT66R6Mp3pR+uxFGKm1RYASIqwZdtnKLdn
mfXnWQYOxapA3f2nN6kNTSWABiSOrGsiK+wfa1t2n1V9zWhU/1kv+csxvg+1hg1lwXSgC6hfAscf
bUkkXMrK34UvPw21joG+8gt1gJYS6M4PnWlLVw2606othu7fErcAYvzzUPvD06dTzuU/iFuupVV1
Z9NORlIZ3pLn+kXJ3Xxa+7SZRrcpXSY+TCRbNiFzOu2kKpubysxKAo09nncnRSB3kytgxFF+J75G
p504YUTsLf+af6jZXCue2NeU1Pu63b4hUfMylqm1UEOiwbzSgQPgGz3SvTyxXaC8Y7ADItGJPjC1
2mdS/q5vDI4n0aVkfKG0ZntgX9gvjsuTi8CeGB17dX5LKKvGs+SJSzjzNO9omLKhpB1MwZy9CEKa
gLsdE2YRnl7TDUZ4bIJfv53peV9n+FuvnzYTB4J0pHpY5knj2bcHh3YABW/6kfeXtYX7cMzXGTo+
iHRtRM+RplA80+1tpBHOsYpOEzN35dPSyALsh639cjstbB7P4/06Ez0uoCpTNXev7Shd5BSOSRsk
95h1KxJ0OrwZoT7hFYysRaf5gR8IE9CkUwEIEq47UOowzSj5rHV53+ybYT9LgQlvWnoEsggOyakx
BrewZUtfOxP6hes8jJ6AH0kAl6pFwxRIgVDGQHEdK6Acpgqdadz17IPcop1Fo5zg+54iwe2tmLbn
HStdtQql+3MPxPKTII6zLWioRQMXSRBTKWv1A5FCIeFkr8I8m8CpQcdOtFrnE3qsEujuok2PDlTU
28bHeu2ElXyfqaVPmb+UAlVePi5g5bsCWC7aSrHEdvwHbWJ82va85ZXwH/Xicru6cbkq6UWjvCSy
eVLsgJl2Q/h8JU4Gy48hz3BDkhjIaewO2Jwq7F0R1ScfYCEknZpDVe+knFXvbM0gnVb2k+iljppt
Zk+lHLn/gpIsbQN7y1Edbb7CxxRCBX3mRVmaa3N93RkjaYDz3U2pD5iBbBFyZiyjQPxf3D/Olae9
EGAZVsghXWkw+U8fd3VH02wNmxF6GIGN/8fj7pcn9H/9zzf8c9Wfx95fj/N97EUeaGD6BHCj6ISO
/bjMxflpgFqHTiMUOVz0fZmLTB3NkqwiI2cxzAP7PvaamEUZy4WbU9XwmP5G9jDKpL8Ye2VWUJqF
Z1TBBvXz2JtK5knvYni1CdVIFDzlLDdqz4JlCSM31l+66NwgoBHVaCrdsRPErY0yWPIlokNUCrCy
RMw2ebN2NLzfXZ0kChoemXM00C1UuRYWDoAPyluoB/hY1TeqAtqr5lyoS1peSiHCqajmkBNIIfyy
c4BY1JMLhfyhigMDQ1BeIhUBvaKiPWoij/a00k3v0ZF9PT35FBYGnyMoJXSviwZnUnO8nugH6XPI
13ynh98CcjpnUw5K6x893hokrN0+caFMK1RmMBqyoKvITKmsEEGzw3KYbPGOktema58F+Fnu3JZz
8TSRuV6no3M8PBN3RkvpMZceo8JYw+RK5kk2Me1n/SDva5llF71MG00245H+YS+4hlMOuDYEaUqN
JhKNcgRx+SV+yo1B+sb1pGgnagN9hCj9I07e9IPgkBD7ZlCDJ26oSsY1wFcTSJlkJRgmwZa1UqiM
kqE1qnbps71OPxOgVIwFO26QgtyiABzgR/WqCeGVI2M/K94ZnIqdWUVhLMHBglLjJsrCwBVzkTFq
InFpRoY0t5ldQ2biBqvpowDZKOPTAffDHKyWPFRGTAsFRslieaPkr5Ec6LjKEpSmun9N7m53I/gT
RQJWq2WS30AWQdiiueYykRUM3gqxJ5RuYW8900ZH1zHKJufdKfN75sDXGf1nioslf9n/9CEMHyTJ
CeQHwI+CRfVPhrDp23/ZvP2VKPrXQ3wfvQxI1rhpdITXQhj94+iF6tnAo2nDb/wWpvh99NJBRbLk
NP92yffBC7+ODalR04TnhpjF3xi8vtbFP+zR/4CMCqyXRlzun8netm7FzQ3C06i8pk/O5iH1ZIlX
96fqWLK1NQz0dg7KoBQ7MnbvQ0XbgRoX+rbWvTxdnshnK9wZAXLn0RWFch0ggjo5ucePiIxTBVEi
mj5p0tNiQ6ohesnp0iA8AW0atOZkqTjQ/B63QK7fE/IB31QgQGXzlIPJc4DQc08a0rN0eT6Tx3dK
wk7Y/07rnoBwqCDjiFZLmlXDW6zMskTs6TDplOQAwsAaR7d5pTydCk8mweqaLdMY2HpZgA+3FmpN
6Nqq1pW5g4ktjkdoK5BoX+AoTXKMbhmed+F7s19yTHC3nekLSTIGdDd9t5ptL0861DmUirE1xvD5
rCcdU12EjwYnfob/e30+D2GLXM9L/CgZwby3diljzSvuhJ/xm1aHjTKw5mYfjWOsdP4nsV34JLyW
Fj4ixLinThoqfjTmtbsH9zlL9TOh8/n9Q4d3zp0UdM3lIV9kthX0sLR4eB2exhe8Sddx0zFIhHX/
mdZevslWlXdZPHbdzlmb2g6IIwHdDFQ6kUP6op7E6FWN3oOYcyM3lvyr2QUbvRXCitLZl9ob1BAP
KrK3R+fFosEDqFKloGWPzjOmkHrHrv00c7xLRJ/xrH6Szkb81iqJluaGlpIOX793l5n2kRgD3aGw
S7WWfpJEL7IO5EWrjjkFCbt3L28v/Ib4xLodqTYAoaZ7Sq4urYMRRZwNzbz+oEuDAkyNS7ukq0n0
9a1ZQ1oBtYcMbBrgFxGCi+Yc7DQaryDlMc5qAjfQDZHS9wlN6kHnR+K4ye2z4T3+0C6TTD8PC9Qm
dbpjGX+S547l12/xslF9lFhPxTnAYGsMLzTDcvZQxyZZg67Cm6qCM4zf7EX6htcXjb5p86RYJsuj
Kyi4uNzTCtbkFWFQ6kclvZYBKofLUO6J0EuNt5MKhkAZqhh8azr1LpEBU4phvkxi0pguiy+L1Nyg
9ohPDrRnqiWJMzFb4W81J9kiXeXauPer623W3pCeoY3TjdDpvN7QA1uZV90W3pWE4yfGLdMQIXg+
WBdahQpKTY+v+tV5pF6KmwukikMAgQ2bOzgPtDveXD7OFKSUyLW7zq9nxUKWvEeM5osWOoGcak8O
RZEOzOuT2kzO9mNr2tiO6KUWuAYeK+1uBb8/9fx/Rg0AJKLLlmMzEQDk+mdzzzqrvrLV//d//x9M
Q8vP+kT1ePlWl6c/14x/PeoP05FY9P7NwilWzN8l9qaqGEwDKulFosrx42KaRTZ+TACQTDkCv/J9
OjJUw2SBjfTeopJh/s50xKP4i7W0arNkVyhPY/wUl/9Qx4ijqHqYzuU0um7tdDdDDX0ZMVvU1d5e
FXnqIgijLnEZ1bgdF2UVZMdk2hPMbvrm69acJfSIQv0SnObYmPfRbaxtlMY9vWeibTy4NoMbhpbC
Lw+sVDtl+jgPwGgoi/u4zWcYlwGMx8pQH96mxuKSrKElyldUedKGT8XKBntImhxokG5SbKllYCFl
YL6NhMo7eoQ2e1pVGZrD4s1OR2Y6yhRMgHwg0GgPLzlBaYNrNAcfgHAQ0bbWePKRk7JnD+/nsGTR
nE6pi+TTbNvIs5ywYhIIe2LgRL9WOWiKTxmn3YvC8GOZRUucmBqlcGYFisQBS9iFTLAj8zHAcERk
pCNaHvJDltiAScILFY4eygzSVaawYTKL160fr2VrUJ4lV6+OECWZrkMlWVrakjWqhWz3NpbXzJm8
bsoo52pSfMgRfJ/8Rg1V86lblkg/r4Nsbh+ZndjxoKJu1KGJmnjbIrHsyV1Ei5fgSpykLRscmFoe
HoPaQc7kV7yusGLoB/KyOt5tOROKznZUza3BvXK7EQpM1wEOPb293F6cgYK0k/Ddyq2X19KztzWB
cVwkXSEla9OCUg0yto9UcyXWJiCeR9XM3upBCaB5fQ7hz19Jonw3hD70HD5GJlLOcmzA7cSSH00b
UpvLaZZ7TTQtYYTVpEAx49OSnSfUgrZgrIc9i4w57ivKv8j7bbIQhDIcYweicxrTSPT3JgmTF9fp
d+l1wN9CWzUoh0ig6PyK9RH6SZSYJKegN5pflKXUEx1BzLKQw5aTPg10ihYKGzgppnuvDyPnqCNU
EyTmNkT7N8RO66hsYwgvytYSf5pPsNQ4XyMfMHxIamsowj/vkossi6ksGwNv9kgEkCz8khOEc3E6
z/tHIGfPWVmQFTX+ulhfft079axCF7k6QWIjNKBgh2Raifgz+WfcutGT+lJ1QwZ1h76Cm7NiY2WE
3Js0C9/paHCjBECj3DbrE/pE540t0iGd94jogWiXh2wiTeGuzh+iX+LfKI9jX14rMIkKqJcRnRcv
l8OrEaCUBM9BI5iLsvyFNNgnSUUP7dRT3XlOL7sgoRmNI5dCFbU3o9iiidGekvUpX1TOMEfl7Dyz
uQLcxkzejDmGjGaPuhjtZmBh2TGrRnGDaq7ecqTrE98et6G5jw7XckZ8BokU2PzEod5I0pBQOjzm
nIeUzkFWCNdpbyORpf5lykvjsaimIB6kMTkh0UHjMaODItd7XG+5zWX+jbsgEwv5dZqjvlzQX1WD
+3mKhJMvk3aB7nE9ZxgdaCRcn5SjVE9pZrSogowAXgQtB+m8yy6v7LYdSM8QvyvKeNYNRavPU+Fy
sjK4YiRkVnk1oBDHq6rvuYwkI770jtTskO9odHlGXJV+BTfjoZKokY2iAwmtIiAyXd/mOjILxFrW
0Ra5SsOG9x5iYNRkxVP7loSR64xZ3j9UwR0RfBLkA4PcRcaEnNOmmNioLn9H/jyEpDTatEe3ok1P
S17A9LqxKShiuT7WQfJGieC+79m7l1vFRqwxtvLl+YnHVIFdH5zYIqyVowhhrLd3bP2DK1J6FBqr
4n7I9CEp7s4T7gNiymMXY6PxIrjVdLJZOt4+AV/I7+B6xbtIxAjnr6gY+Vd7IqiWABTk8BdIIety
ngyrDCTi4oNAFDUb8ynUs7GtY79G33kDkUFMp/T0+2uZ/wd38b9TeoKh4cGj6WwAQRIhUf+4FBi+
XfOq/nz7+IsWzM/H+L5yER4/h1WIJVoprEF+WLgYgI5MmZb7l/f4x4ULSxkRiGgZ5Cv8EqDAplcE
Lph/VA9/Z+VCme8vVi7fn72qsXr6ceWidHVupJf0RF/U6x8jSRqwUDkzYF7outLzGxMoiGTLUbcs
JPKpdmBfWhyNDa3ShtWJYoBlgegFnD/Gr7PVNlIN8zlgfVKmr3do0fEbrDEWOrd8ZlAhvE202NcQ
AlPwb3d39JrnVQnf5rTQMOmQ5jxsCTVid2fFRHZN2pvilbHhZ6SVTK+eDazdIFCMOt6VMlrtsEgw
lph2bua4RtF1TNvPRz0vz+RxA017Magrjh10amJk1KZtikFBG/Vs3lOSlCZkSZtTY02ZK28G+Tt9
5Af2n1l3nTunzambK/WH8dzAzJiYa+nDXle3kR1Yo2IHFfq5mKh4iIgvS57NelmFRyfG9lVNamqR
FPI7iw722f+XfPb+jYgx5HPaNCeJS9M1mQ/HP/7oTU7l+fJ2+/Mn79dDfP/kkZ5Ja1XnO7xg+acS
FhAxPkO46m3btIQh9ocSFp8t2GMUskwba/+PmwacxBDNVEejzMWn+bc+eor1F589FTwatTSNz79p
/rJrqJKiidU8SUfO6bWJGp8f5/PGQISehobC54866K0TX47TBReVySlGyu2gYO8GbBBQClIvaWYE
MZUsxPbSgAIrX2gC9VnZDdrn7pNSzuA8MHeely2ugwRRhlueXWGO6vgE00T1UJvQZGwH9d6e2bN6
z+9376bBp0KrIsPj8MvNxUfxMrkNrN1TneCpuD/TKBxbO7BVtPwnaAHCbo8qxRACkfgNujkKldUN
Sns0I8Ftby2MxY28TqLdaHqZq+6z+wyRDC+6z011g0+NBB9rVxESQTl4I0hj/iFYGwYrejNQNvU+
HYUmmPTAw+g49WzPmgp3a4RS+YM0Ll8ZVN771TU2p/mrHPTjepRMDVde26+XEYgpXLz2sHm+jp3d
Oeg/F9ZuUbw67xqra+f9Or4NspXiOu98YdIiqRidaaC4pfWs9eB0aIcWg6MkCTw+FXm+o/UNqZH4
J1a8d7DNdeOhivGpPHYDxDXmStrwOqDCAcZCb7Hx9myKblMcjcTHOUJB00xYN4FY90J0xCv+D/sd
mLfhaQPHIWQFcJQwE3TibMk/9rW4V9BYItIjoTF4mxG7faaURIGEMzaAU2Y8tHhw2qxus7MNEkKi
AjhAt1Mde0LRXaHf4QcP4cImlVN8ESmLp0KcYlDHdskZhM+BnuZBs19DboS+RzxoFnGAT0o0rqIq
eQ2kDZxgsEBxgLKIL/a7e66kD4VCCIevJvIKOMET5WxeB/RF5ooHw9Y0vmzU26Tq6QS5iGnNm3/C
eUSgHkY+B8WoOqtf6Om48qt5FlfQ//b9dqAS9sevnCj4c//8a/TpfzuHoxWw48Y6XZjuj1tweHW2
zdheYuxR3Ohzy3W5dHtmMSq+boctd/Xta3s78KDkV5EhyEOJPrl6zYacZxc8NpzHKW6SXth8IhPe
8li2PPgs4JiA9Nh/eVwW77JAfoUKrZlkmgQ3XVBCL7zLC1ch9ZUT9MyGj/cKrQ1vYXSMpGZ6D7sW
FHzLJkumYOm+B5YPz1lQnW2U0YMHSEz4+C6pRTgV0SxjefKA7sdJyO8gpJPNA6jcffQARHSesNu4
GIvHpAsfJMDGkp+BiAYOPcrsIK0nAKXj+4xUOy9GG0YuENOny8VgioAHcRp+EVIwvjj9oLD5dfrv
31PbJR2AK3POE6eg+ieo5H0I1Wd/8Pfbfru+OBreRDBHXzcRV0cJNvh2a/F0KD5KXloECY9XHPbr
vkQZmufb/fEdlBG+GNbhCFOFGpXUDASu6p44xzebdqCr7v8QrVKP5PPITgB17PfTCAeo0gq3G4G0
7pRN3pSfL1yPEia4dQLMxcHybYtyVtyBNRSC3WihjZM5tyymDw++bOYBmL0NNSw6B+Z7eqOutQJT
iNMKNjQ/OIM/sDAogYdufH50PcpWmf2laxku33cYDzAlvdUBNxg3mHTshTFM3/DzHHcc06VtOOUI
4kY79YA6l8/Pot+XNuQXN/RD8d/k6zvfvv0arr6f/HbJH+d/+8X7+bw/fuVMjxFGzsIcIwVWj/tg
p0eMX8KIpQg/1n0gza5TisjbDgshnxUWhyd3Vx/R/G+wi02F3+OybXz5MP12GUalN8GVFLn04sJ+
z9P4uvDrlvJB3JLmy/Q82jFMCRcvQY+UlfjDgjwY881Ab8yPb1d8YAP6OgLnBOWRAPqtQE+JQye8
gnde4uRtx4Vfh+/34r7PI21Iyd4XRzc5HI+MD4OQIAfyQTwlohzFs5Nm90G0+XpK4tYBZ2Ev5aGb
iwDr20joub899r/f82V7H4gn2O/Fhdyoin15o82MQHm9uNf9oV9gK5xZnouxTt644lesxPPCv+6H
1Qsi6MnSeQ6oLvB+Sea81ZgEebP0iMijhXDJ4MJsyRXWD3ghjqQLu+LdytW9fhAteLtSntkXU20s
NNoWb+bHMXjJ31B4r7WxMRbGKGx2szagzSxCNnl38iQJEG/cnTQrsVeXxwpPIz2aAW2SMaa6xY6/
4cV17/ypAlKj3ClP2pUPICY5/pSHd2WiaF2cSlPIoE+P3p2+lIz2Pb6mm4GryN658qK4U8S5xC/G
nHw1PNt3N5HhaJofnFLZKmiuDMFM9jJqLwxvWH9SnJ8lAdAP/GnVIT2yzycosR1HJZTSczEGm5/3
rsmEzETRu/iBFdnVIjFinjvXoqKgCySaAHzS4ENBhLiH6wuGiKsvDLBbN7/7tN+//V93rpZ5l3HJ
NEdPjoG89QsGa5SMtVe+Pj7LV/v9b/9H7/Y7nltg7RJvudkd9jv/dBRNX1fsGXHCB5vuNct+YNru
fUxV8zJbRXMmY3rhrrmjP85BWHCtuAtxZHnVJK52ZhPkcmg8CmffLgLUwABsXa97voylGGtOzmLt
X7J5+H/rU/w7bTHoASCXIReRzf0/Ffq4n2+H7IbS+fPyF9uMXw7zwzbjp13GT60JoXRHSskWR9XV
X7YZ4I/1H4Hx33sTyNnBIluqrqiKDFvsN1rlaDr/YodPqYDaA2pPhXbNzzt8XpRbJ/fdiV0G5LkG
BF3hDZLrk2l6fBWYJG+g6hKQdRnprq4WSu82YAHjrQBspwC4s6HU8l5dPdQAXtaIPu8cRYzKCrcZ
GgDyZDh54PI6sHn5Rs9ldhb1PEV2LRlO0GjLAyHKJNKUgwpfcmS+KyAArSF4CC235meM397N5nNw
JSAPybYpmYOWlHGn9Z2UTq4HYPwcbW+RysPNBo8+FoSIaU/n15OJxW3REFGfeE2x+qBJp84J1JUW
KISSA+1xz9wkW3AVzYGGbhMHObXeaUcLxkY/ZL3G0mtNDvcF1ec98zRl3NIutoubp9KbgEBRnmi1
+LYoXJKihfBJx/NzNOh48tnGX/OAvxuY0iq+EoTV3kYIuyXgEeMyol2qpYQQC1XUc2LsnRzhHylX
AYPvpB4+iuz5FGFHqjbdsxpmm0cS6huiuhD5TJJTmDoiLD4oNka3UnBfOh47JGGfk83Bo12c04H8
eDxvT3U2fKCaTCPszGd9qkc6G4PVuULheC+VkQ7do6dOUTvHiDavjhbWpH9fSofEgPARJ7u2pP0i
q5a3de7yQrHYwTjr5CId/yWDz7/RsCIy50zCiBTkJ/9cfIOLs327/Lli+MsBvg8osMI0lIPIb0Tf
krLA95IhyXOABdETKvAAfxlQCKSjZEh4naZTUvypboGikIIiNHPoX/pv1S0oQ/7VgEI5BaguREJH
PL4fS4bXFiudfa5OI/2kDG2n9eK23VzlbqSfUSTHtFjuWekpESw94/2eOjH9tUdYXfxLL+rzUDYq
w5nda2QpTjls2FV0xulVDEQS/beoHfULbVZBa/k0JvHk81NCvecCsVFCM4gc35yjZwO+8oSvw4WR
c/eaK51TChHsvKWtkfv9JRvqD/hNS3VZxG4+uABGcSU2MEAyzF18wrqAx1ANtElOIUB8v3N/FDyc
9MU0NqbgzXY4g5vJzQhvzeRiAOkjCHLsvBdQQPMR6pT+WdOfH/3npWcvdgnusdeQLkTTStRM+HIo
tOACLFxIvA1bqUm6wDGObR18yaqrx/yU1KnERTZqwZathWQPUwTPiFlGefFkqk9y71rQWo4lNlou
yR6LsiELlBTLIM7nNU7oAhK3OZHlmXrZGAcVJ1B/IZwoASDGcmSgAxFYqBjcdxgBHyhnciLFUlzm
beSZ2fSBd/RK4l81rKR1qz7bcImSwfkZKFJZeTh4yzoa1TLuzhEsIXBJmRRW6dAhyxUCI3XVUPK6
8UmbRtDftLu5bh5ztmUFmHRMjDLVVJZhmjCYS7Ok8DJcSRKTBs/G7HYyLZxRTl03Bi4xZHXLLe+8
PfBl7o327TqSHosHyCGsOkdznz3R+EnXjGpOGweKM79t+2StgxbLY3ouLQvJe5ZNz/3uTnEX7yKq
HFa9JVeOcNKWfnoZPy4zOQ6leZvQEptUyQfe8VofE55LuxHUf+J3xqx65LB2Jwhabf5YLUhZMhX9
80yad37DvlyzV1AYcQIEbMebmA29OTM0yBDpSIZoZQzMu+ol+NmVoA2lgB/20rJczXilvOJCTKLG
fR1yV/g004FSIhI4K1wC93l2nckvAKpEf1QdsAFGd6+E5aKp3qsAZt8pGUZE2lFasVdaRRHQwmP1
AN0+aGZ9NgNshti+3SW0OJmUlUUhjx4jLAr09OaQNHfqq4NolwU7YWN708IMunYOCi4GAUBWx6kM
ts043GXk6M5zdnCeuxVLcyZOUgLKI/NibrHCJg0BedvcYnGLzx+E0DWwVtJ5o/QLZm/wDMdIXxMM
wIUIfKcigbCwwrhhl+hW1EUMG6lO7HGlBqbmsa9YKfPepx6JSKsE+NEyRyIqAmbCXh1nBZU7/hBf
EIN+AZ2hw5zgH1kZbKl6Dc8D3p8yVHfEPRQ1L6aHHTze3NEdo6ECqreSUCXfyx3d6ZKFCu1BIpiR
oOHxqCGzzcAOb8FFDEt0rngExuMX46UJL8P7e2KwRWBUyYmrRYv1csdj4Mmgoks76Cct8OiILcHX
YERXwL/MYtbwyBsuz2zlqT2dIeyseIVKZ9NlH8mbNEvPoageNqKQh28NLjEpYYtyJodYWsg0fDff
oQ0T1ZKEl1dWHn6YYZLfqDv40YtsY+66z+i92uB3CKkOucUbe4gS9e6tmDb3gco2Pn15GJsY7dwr
waDjnMhkdn9fNy15jwHTAjEeqKHZL8V6yHotSDG8TS6XoKXa27jtzDZGqjm0d9kgDZRPOpDVMF8V
RBygl9ikr/KO2qeVDtNPUZi8fKL0Hck7ngFl5jTArQ4UJHe/wCBkFNC+fJx9wmMul+U9fWmxneVr
UEb+mBiFMB2fFm3VQ5QQUPMEuvmZkrUF7TyGen4V+HOzUrz/inEuvlgNAhEbSbVrfuhRmChBGWpr
JAL2xxBJGZk6BnoDevC+5cH2GdI4Homkb0Adfu3udtP+wwqSd5HfbHOVFt8MNBs2pnl45pwcpo4Q
MhIbTY0TyDcpPcNPENnD64z4bj/zBDObxpSf49m8hhjw3Hp0R17R+vvec1yWfr5QxbDC83kbUAkn
jsY/zwEewoscEooIq0ugD3EYUUfVh/exPRMF4tpn6KLued2d38UN+VwOaeYSbuNuJ5bLKpibTFjh
0dmeP2/uLtMetAfuEwsPFxvuBCQBoQyZT4vdjzzDZzB2t1d0HTIkJMfdM0O6R8sXeZBH6JucTRvb
5/ENWORuIEdgmKb4PGvcj3oQb+9j/iG3d7WN+YpAsRp3aMGxuZAR4dOvhy9QhBdvQlQc/yxafxDu
PTsAVodaSR4idcfxr87MgNItL0MRGL7FP20Z++KfPlFmwq+oBeWccR0fvTyYV3jgVSQApvsGlmTq
QNIaCrTLjr8VYZ/FNF030w4rPPqFwX3EPBLxgrxctvYGrA6KhsXlrRvnMImigQlXZber/zXb53+n
FazQb+NN0Q28fqzy/nHvbfp2SE63P8v1EM79dITvS1hWh1hOTPtbo+ynPTH7Wha4tN/+1pX7sfWm
OqyKVUIkRCrzT0tYYtI0GccOWFwsM7+zJ9Z1sef9bvH+Qz5uqCpNPhmro+jK/7iEdc5JjKAZ78tN
9U8N6wikPVE7tg6QTaDokZzL59ZyoqXtzJ079JGL+Mgpw9P2wsohiAhYzlTZN5V+eLVzclv8vnAW
Sf6kCkpQG5I9MrNu2e5iEzbAZJONZf3kV/Git5GXkM1rhJ2Ntjyyp1WUzXqhNDuv8gW0idQtwM1e
p47k6894I3zTu4KWUujDNcPz+EwmQGB7p/n9CDZOsDSbY2cPTx3IHNV6q2IWTtXQnLUDu347Xz9J
iYnXvTfQdcR+6MxtsIHdALwvi8gWKR5Qz4zVFvSI3gPJea3XNLAuiY9JmU4RzR+AN802WUa43NbJ
B8FsfTQ/nzzjviucO0Tq61ArbpOox/UikoOpFiZwS6Ll6XZk7Lp4RjpVihkLqIAlfBL5kqcIVDBK
esD8AzDaJCZpC7tmxz5krflAiI5AbVgcsbo/UREzR9h8tGOzd167MRvoFLXcJHlju0/FGIrRAS0e
yvQpPDBKffLX92bQDKaRGWrRjqBdXSMDB4EXIu7iWd9SuvDUFyoYMj7TdGjNBYLI8qxXIRCjG3X3
9I8W0ZBXHHKGZoW9dSBTnMaFeLpylfPs6mTj222EozK94CZkzmFhXD/e22jSt0/QjaenWb7j4ov9
BNKAGqyxJGhIU867whrVbqRMq0FE25AKM3etgaw6TS/RUh+ZEUxh1/GsoL9NEc3dX4ifAwdn1f1I
YofTk/KDyLGAQZsRMXdG9ZYMstNSONIfmJ1KUBmSZ9jQkUIJ+Ml1314nD8uzWazB2JyKMsUD2Uba
zNswWirG7FFu6pBV/k563AbqbXNr99Am4/eKWfCMjgjjU3dyXPOpBcpIPWFbLotxM5Tem+dq1m7E
PEWc5b6JEj9SU7/n5/Xy3heQZGZ284LKHvfpTWM/mAfJhraLfmCVz0+6H7bjUt+NibP7NJnsQZgU
aPVVETNV97qf8qmET+g4m5c8/zipfssVpob6VGKamlOPzrdwRzDtqfRiC5mp/IopacQ+Is0mRfQG
HQj91+jlceRciZmoEHqqlqmbbgPvNDZlheiHnyF9DtsYoRr+hBiN36eqP3fPp9o756PcnFO0pQ/C
y2GE12ZyNcKiYX8wILxKR7y1sdMXOuodG8hsQaTFq/hO5UZliyklYWruUJxFdAHE/WQD51NZ3hdY
591O7FJzuFq3eKHCSApkP19fYIjl7mPRrxo2wlH/FSFxZ3tcs02mwNaKXbMtWbOuKQdtVA/ZbtXJ
RpFoIxAsfj88XqyP/0PemSQ5jnXZeSsyzWFG9MRAGqAlwJ5OOp0+gZHeACA6oie5o5prB7UxfYjM
soxs/iqlWVWZpLKIzIjwhs4O77177znfaVBhtuUBUfQ5Ls5asgfo81+9m6OMGi3NQCqi6sq/qkN5
aYXFP/9TWZzrP/eI/3grv+2H9HoRfyHamvwJecJWiQYFA5dOs3fspvy2H2riKHmnhyzh0xoFLL/1
iLFYTWgRq4b6Q93+t/bD6e99+L/sh+yEuiKLPAUA83+/H9YPhZ0yKzlhc3yn6uJsheA3G/8OmHjq
QTtnDq6PckXptuFzn9LOWCBBidv1fTkGi8Lze5LMOX2R/LxdDx7Wow1XTxfArVak7RS1hlqeYkCf
NXMQ9hBNMN9GFG2OmBFmySuo3ZEkjuJ4AmW9Ok++k12LsJTKAL0x0MU+du4IPfg6tp8k2uLgVB1w
1QYtaYLLz3DVn+AtFTPU30KvKr+mFCLHobloGjNT3I4ffF/IZqKPWWF2fqHMPiLlLS/6jQNwrzs1
lu6TsQ8tHPYsSifs18uYLrknqlauzTFs32xlWfQz2ZWRrcyF1O0cuNbKlvib8uHUpELX/oM7ZzI+
lc7G001mzSpflsvd1R1d/3vRXL8DuUMngmgf2U3sLyttJNw334QbMazvljTV8cNYbP3xIkE3Z+97
6fxMt/p9AREFgWjK8mHTMRwjoYJsbeTLeF2McaKzhm5T5dxSS2IJVdi9mI890hUAApnvIzDJLJjN
MZnmN1rSx5GPhNv35uGVGHsCQoD4hiRAk31MvmAmFS/iNLgBsgKdcg2tTfWRbhWe1cuYXSR9doc7
YPadptgCMIF2I0izvKHmmEDAoRUoLqJJZBE9YKoI4cBuh6dw1Dp8hbYRyfYVNUEUgFOHSP3YVcbV
0WX2tqWogIO32S44JMB0nFDe2tNFd4oAM5TnSLOE1QPYXJ4by2Qn0bSTplZ+XWVloO7q6T7h+OB0
23x7tbHKab0dGmZ920QClFv5tfPzTzYTnp5JbeuYJiok2qdRsVdN5p38dc2z2WDT+HTELqTWwHuV
G8ASGTEkktsjYT/cj6ivd7f8pT7TjkI/rXMfGuV7VFDXMH/iHSJwPjP++0GQAND6KgcZ3l5IbWUw
0Yw4XDpbD0T0H/B1pYh+nKmw30Xoup+3jXpbIWm+ySdEyU0BUCKEkgD4LRhvPXs64A3CyQa5N1+F
BDq9radQ3Na0PrbGST9lFlLFVX316gdo9E3y3F0HGPTDYeqNVDzyWWmNcFqY3956m2t8SuLfh7J6
XK3kaesvAPwMm3EIwuYI95yyqo5Jt0myN5UwWxtpMZ62uw0xY7LlKbx3Jz76KGYIy++etmshdrr3
fn/VF/GX9hY9d4a0RVDOVDjLn6aRXiSxtG4oX67W9MYpxpXbKdGAryq2bEY5+JZl+ajFLvInWjQP
1SuWmbqBEIslrh8JZVxljpS9dfObgCyUs7UzsdIVtspAujTzEkVorS9S9V3pP6Nac7EB5vo25hJA
YY68m/PpxE9f8hfGtiqz6AkQu9t7Kx8V8fz398j/s1nqX6up/29MimWMwPxhOlH+LUaY9c//C5PX
uFV2H38efPzhZn7bJbVRrWmMRuFfiryfBh/aj2RB/dfKkILyt11SMfBeTVBF6wp7ovLzLqlADGPy
wSBFVnF6/Z1dUhvj+34rGn+N95OhRsCLEMnS/sMmKVdhb0hRjk8JDz+GKBrizxtsQbztqFC40sFk
Po/qKbrbabR9Z2OTnmvSJX5EhBQ16ZcbJUhXUiCsmcphagHBTxmRFX5YLK6NNVAU6casbtwd9OxJ
uMb4UcRLuZxjsYCQ2wApVJ2Vc1aA/6lODEoR9Dzmou/rTEN/BFLeb6i72NHKzr3S5twhpsOG9QsK
hMzJ6Kvc/PKI/1vR5T8iGpv/8d/JTf+rZ4LiHm+dymR9pBb9XD7X97TR+yRN/FsLGn9KWrZOJDOl
dDbLEHJJEMfS492FwBPpc1zFN7weUxvXGHu0zDqv8jdBuqjZ02QyJOONNgxioCwldLTWvhb+A7RU
bD/Kwz3dkhCSkz7thLWrbSV+sd1uJRzZ+arYi67wMfkepx3fpCgN31f/5k+sfcxsw9eb7QNPzPQd
YQ2hIB5eNflDAvDOSMFAbOcYa+5IvC/4Dt18ui4F7ibZkeSCXkn44eHmEEQICcItOPkpXV2myx69
82BwapZU1Douj/qK0XoPfY2IQQVcrejyNBi4Vt7SVS1x+zGsGnzPZpnO3jJfhbb/qkFAN1s0skG2
rzFXm91ZGKdTVKaFMw36Begs5VsJFPp++/Ks46RDcjMaqqXg7SoBoe75L04X3MzjexA2N8nk0yNz
iPH1NjkjuzSwGK8VL94g4sxFjxfNniJKF5yO7e7WzEPk6nigqS03yUFDxy7rmLn466Zmym84beEb
u+hL37VgnPt5O5dOoU1wBGWzcnWGMQeDYAYk+nHMBPBqEeSnvNdzAnMjpl+qMqsvrfZEbbytotku
7jY5Qa6MeiLUMs/WUpcZ9MdoSUaEsBQOPT18bF60WqkiGyrIURfV9mD1RJ9Do1qtBmRIQ+wNvv5E
U8pcL8Y7Ay9O0QFmXDI+0PJfVJ8kfSfHb4m0wfwbN69KnJvhmwZQUwDpCQIU+me5r1rKRvNev4Z0
zzfF9E1tRup040uSDXKUmIjnuV5Vnyosk+mnXn9ViDijDaBcbM31awTmiOmczLFWPCnpUsdukCjk
iVjAz2CVwLU4XJdtsQjjybK5vsXhLKUrjsCZLbgD92S+qfSJpWX41VntqXWhqUqlI+/7E+BaV6PF
E9Hi9ye19VPf7q8uXpbDP61iMpYTgzXc0DT5D6vYgwU4T2NaX1yXYxAEWZhm6tWXDKpKSmrkfEov
/d59X6e4MUkwYNb6tEM26RRlZvQVfamB0vEZFcE2mZd0caJToqy70bUBqEvCxSEl63/jTou/nzn/
2rDTVJkgPJn+4I8V6SeDbZ8LQ0e2fOLfmUYw76sHOtLaNl5ICh1nSVgwF7gG17g4PsLdQFS0PkHH
+p+98kTnPy07pUdvjcUJEeU38o0YAgzvA5uFJ1qh1d0I6+XN770UoIJZqw6/tUAFoQ7wPLHeKWzw
qtMezC2X2Whst4t32eXzZG1cN8Pr+Gf3ii1zXKAMJ6RlpK1UcCr3TbyYLpF663T7Ce0wvPyV+/Cm
m+AgOfwGLEbh1rBtjYO/yTJz85MdKxEYCmLvSAOppjaEmQW5Rc2ZWmJciYQ1a8cIB4M9ZcNVe7rV
q/ZwesIWQqcs5yxAfLogPYFBCBwFXiAG82f6eU/QAj9gkf/R69Dze/qBT9qJYOWQllPP2yNBQed/
79UorZGFC8sCGTiAMQhzvewqP/jeH0Q0CQU9UqDGzf6+MkLDnxJTuyuS5aFvwmVCgK3TsUh0fpfk
8MsZSL6mGzh2WnsIadlpxUyZniLaeNXxQUtvTD8sks0jBnlhM4KHl0T77wlMh/kmLUGN1mA5MxbP
TX9iWnkvFuPiAQhJDWey/69fh6OI5KfF49fLUMeYxglNJovyD8yo/8QjELUPKcum6P87noDGE/dv
R6Dmh+ruo7w96iSK2z/883/+/3a0n4iKNsLAaP6MjaZ/PAtaftUfJCRCc5iVH/FXdo6YXJ+ThmjK
r67/ixnRH275t9O+CsaXftsEXsIoJ/pZ5gSbAQQwgIlfEhV/Pu2DbADbRrPqXzJZf+qJjZGrFALK
VIML9LdmRCgt/2qnnKDaBA8B2EGa/iHOe5L1RX6fAqfUuyBrbJZFTmjRDPTYRSHLLdv0SAwU2lfN
UhfWE4Tl6PRk7I8RiBqcMK28eMJPSAk7/OiWVxIJapf/N+p8WjAbGMD+6nQIIN/0sNJMFg6AJi7U
IBoXiYMSk3wQ0+BCfi/WY85Dw1A63ULHbXbNPWJ+S/7alRA5FRv0O80uUlIMWnOKiNh9Rm8sHA5P
3MuMTCexhRBm4sVkN7Uw7nVr/A3/CDHCyGll6vKFtYEs8ofpee46X1Wm6+5yy3Mc+gxMYfkgiXHs
UdxiIZy7bqcFtWTzU0iUreTTkAXGh4GTmzKolE8PxJic+ekT8O+II3VD66I8j/cOzQp9fWkU7CAQ
gC4ztWhCRDv5Po8lVDHgIsnX82Xko04TU2hZ2B5G1aIFOUwGWCk/YJjjHp9+TH3pHmj+16ieYTgT
gICyC/fpQnBwOOC7JDwxOx8P9w9gBgIj+xy8GDA3zvPjOH5M4xr4ypE3ChWGZ2O5xypukRhkGbCc
EevwtBxTjvT6dLDe7/aXAEPgyYRMoYWGQ391O2s07Z4DGSMj7WDjiFb4MQXyQ3eS6q7luGjmSIeY
eQFAnpfn0COxby5Y+3d8KceQ3gsn/eBd32V76XtyW9F43MslOYw2Ob3TscyBSSWQ0gO+lxk9vaQx
T278K2WDfEqfDs8yT3efLn40SGnX8u0JqYp0TqmQRrhVuxiY4Rkfwof0LXzob2MgGDBTuFiEi/Ee
bG1UAN+cS8hMrwkzwLBF/l6azvCqjfqh14sfYR8g0gP1BEYiDHKXB8+fYb4P3DjxkfRLYS4gY8KY
K8CIuzNS4lmqq61UbmjBcpzEbiYTz0fIiPV8qxcKNdRIIUl5cjh58HLyk+FrjQq9MfYDkRL1Iv3J
CuEYlpvnOoSolJhPEjBzBq9eSpgXb837nDdQnNMC4vGCc9XClczMrnmizOXPQnkteg+B3fWk4l7Y
Fcdb7z3xwRG7Btbjbk8ns0pz78D/SVyjpnBFWtxXsM6mduPR+ohk5tmpWWmBYrX+ODvkOjbFUze+
mxj5mK+ExQNzfcwZ48n4/3ey2+EVoCYkDcnR34Q33lgW9VTIhT3B3AMVNfLhYN8fXwN2GpjeLQkd
SyqZwuVffaCYm/vhuU2/+pm0H1I3m6f0Z69u/XIVx7T5Znnlfesxh+IdT9bovFg30FhzolHaF3Fe
LidfJb3mxpIc4SJMzYFbtitAWh3tBHqhtjofQ1RInV83S+MYMZNzcicNumUerCt6wMETlaBk6SRE
cSu9DwXQjuaP9+sHImPn/iLu2xe6rYt0ntnluz4b/xTnfDujc3qTuC9r21XOVSA4e9mmwx7cE0dd
TBOSklInDwaPNwvMlAvhi87TvFScURF/8ticajfsYhd2ra+77YYWBh+m5Cb9rthUq2h+3wNX5wLv
VszbrieBGJdZsde+mxWYqFnr5zuymmYyKXi8I2m2kI/HBZFAC5ZR4IwZeYpDmB+CM0JTHwRfN6vr
qdhMOUav+v1wlqzwu1o9zlz9ZhSkjjh3n0AJr6WdHYmF9fHh4jo5NMW4QEiJV7MoPYiyoIRKlmpt
JeAOJbROCIsi78HJDRxiotiJSAALkJ+JI93e9RtzUOsBnSQSwF3WAHM/gNuMkMUJjdF+tKNLS0hv
rIBJskl5TLQjBsGPyyAiKKE4TaQFljLR652qC647GS3MB63lbkFbmV7yEzywaikcPmecAzOscZor
yHtlYY2wjVODWRcQmuoPyvIGcyxd1lT1jASgqq+Sm6lwDd5MhAxBV9rVEeoWWUYYb2nCZtZ0nXZB
LtmK2xK1AFuHsSPdVjH8krlk0uU9Xj4uAtwLdXXN5mHtDc3WCL40YhhHmaUC7CJIPSRYu6E71ZdC
45kj1FOXeFMIVCVUzfGSKJh42SYIOWnnYq0hcfgNoMUmm7B4eyIKJsYM3p0Xhou0IjsYsAezX3RQ
XyJ2TURhzVZ8OUQkJbUeioVZvI3cCnVktw4bcw5ymE48D1je3p70BNTC4xlbMnHAFAYxeU3qluFb
5ylv6eQj9MGOdLeTsJSp7rsvZmAF1qzCuyFIIsYzFdYBkSMqYk92hwC4DOGx8W3qTBRhRqBcWrr1
ZfoJrZmU2mIApo4WIrvsokoh1+rShNPZ1xDuNKh9hCIQco5yEMiHsGx8zdgWtPG9yfzliuFN9Ekt
0dIFuLhs2UZ+/fW4+bnEUrO9vk95IJFVzab5Ml3HQerWh/5L4gpL15OJOcy0++KRbjvp/JKj/MSr
vCDqhJcWL0K7ZICO/nDycfu+c1SgqilX/EXIbDI6YCF96Fdb2HSNlZ9CxoGhX8E5JI/ukVnKOl2m
B6XaJlcP5AupWi88/1iz1aCA1PME2AO3R0hWI2A0mYf6/sen0dOgoSDkx+wFaAlIaYEdd7Nubtjf
hi/42VeIKLPcZdPFFHAQhU3h4ZqekfQx01YyJeb3A84Qg+4Jwk5ZBDqK/HCO9JVrIecIkKGE2JCA
hiuZ5imTzLGPM0MxRowMhWm9vZm8XPfsSBdIi0hRPPFFGbQ4tMHikg5rytLDcYeO2mpYEDsjuZLb
7A3meoucH4NOANQSsIg2XBToTmtadtB/FuHgKoX5gNBEltNsSvhcBiB7uJRoLDzILeq2X4GN3NfL
KdMPB5FAz2jnjKj1QQNlriyekau/Xucxo8x9yHa7gtud/Mg3rfjE+Cm+9mpC95uVPAZnshgzJRV3
FNPBiKIpHNu95KXPFy6JWPSH8FAhreM8UVkw94qpzTQoQaBskTSzf6gkZnr3JwxFwifTT0L5eBPL
m+SVVpX+Wgt++bCrCx2raQ9fUULeyNpG72W04PdgI8Vwpn7eE28UAIogN1b5ha7BqnQngGlaqloy
Z+epMI8P01WBxcXYT3r3xvgnQyOZbnqgPL37kitnlKkTYuFsxBlZtkrt2cgESO0avq1uw/syFldr
ACZu7H4qXv6iISb+fvb9S1v/52P+H5rZfTu01c3gmK+y5UlWc44qNz8MRsB8jzPKL/kFv6scf26e
4zf7qYL+808bP/9TIytNMimqUyOm+vfpDof0eYKuIR6o5oX5j2F2/z9F6oFgM055CDUQZQqyf1ym
jrOnc1d//VVawh9u5LeKVIMjSK2nT6UfdefPFSlWF4SSGH7+rNIgwkDHW/erSIM69reKFPmjpBvS
hC8Z5ZB/Z/4E1Pd3751/6b6MnEHdwMYj/eGdml1ryWiNYlQtImkHvaUs1dbCNtdH9rOfS+9tMhw4
su+Et16jEHnS+A7ySWjjSiicax6tLtdmqfS7p692gt9uJq/VjhGJ3joctEXto0/3goid7TuMZj3Z
bwIE3ZHdFqHUKpeZWLj48QgXfqXRPnFElMDafigxTAMKR+QkBmI/H+K9MAXqKblhc5EQvvmGZzz1
WYeQAqUEIPzwnVyDbAHjIHWB5bceWubUhRI4kBRGpTP2EUkg+SUPSlNHDgWVLrOhnrR0+4q0ghu5
/wuf4v6GEZHWJuVG59SMet7Etzq2K+EorJE6IK1QP4CUn+UzVQLexB+0v/GLQrekCK0nGyoM+qzg
KvpwXcJvy3FRUCuciVCPWQ64zXiD60Z6cIoM7eqVjDzKr5isvDahKdqls3EYM94LtIYdjFL3uQkb
ZH5bhNUx66TO9ko3FEEjPx3wogQEF/k2tDub7xL1WVbboaeuRXWHlSmSvOLpCkKgfY8la8WZVHbj
z8IvTembmVM0WcefEt0CIgkwWeC7nN1EYIELDUWo6HbyltoX/QBDLGob1ZGutflk68NvRM92rtP9
beCPDCatW//BBIBGc4cejnewF6oTWwlX/Ea5cw0P1wLe0u00tfl5ZNKTMN/Qh25wZ9/WUAXzu11S
qtlZ72F5aXgS8XO2FFD413cqpfRWXEjnbpVTIlRBOf7aFm6xlo/qJTO2GW0NBvPNcuxu8MqZKOb4
pRCRXR7lDZs6Q3/IaBeC3WxxoVhTbUFgOSJIDkgNNGGMH2E92BKIQMPWV5OrqUJu2pd8/LaHDr3N
NpOTsuk5UpV373YM9wb1eziZR8VZ2RTUqjUWgUx0FL8ivR6d6SpcTKE4mxOOwZ/S53AKNUcj7fvJ
lo5EyOJEbVWp26S83hzurR61yZ1B3MtkLa3FbfPWfRjX4P5armtC4AkkmU7XDIqet6/7q3C45l8M
0YDFSP4Nis+json/VfY1V5Mv5zMEwxoWKZPfeKhapAmCOWzyN0mbRfWsEl+VF/1dJ+DvqUxNjcAI
i8ih7GHp+SamCBa945GmrXMUVbNriQ6ZIKfPCYEEbPEyyuRJfi0396DHutPYPT1k4u6oNSjuOMzY
KJ0J4TaNFeLVi0ZN8anviFIlee+eOXAoZLjapd2ryztxjlNiHgdLJQ7yPqcEioECTwZEkgAzSK6F
qqGXvEqKsqxaYdvQ1sHllRLLro70fPnxTtJc0xEdB7ZhhYgzFe2mfbsFQv0pSee2X96IqlSIrMSt
7aqCmZKeW6jAwuAlaNW24gyuNrtVHzwDBf3VizR52rSvIl8a6JYscX5NPrIb2qXvK5F0llzMJ7xc
5FnxxFqyp+j4mt5SwKXucYRCsNaEt+2g0m1/ucexV+LeIcf29p2JvK1p3RRgfTa9vpFmLe6nlzRz
u8ncoN9EODX9CZ+J2J0YdJ1CfqY2IwR54tZzTVkBMOAyQM/6nPFNLe+E1xoVkXDbwHVwqM0jT4jB
Gpy14hT2y6+kehAhSCE4ck7uopumhMcYO8UeiQIDazoXF8fwz/I2uzZuRDSOutMFWAOCzNVCU6bw
9OpDQDzeY5lAQcqCQrDNjScMUXVdEVicfja15kTg91W8LBpKd0x3jtGCgjpcTflwf3+8VMBo6oP+
8AQMZPQ3lvmG8rXxz3fJMx6U0oth8HlPAt+Gqx3dQdI4iT670csj+5KxMOG9DFbh/k+8ghmU3tkK
KSjwRQZqKxnr1RaEebNJ231PTnw8Vy1NTj97ck2NG80ys7ta4oZpUpfb3Ry2Bnm2wstkxPRwvC2Q
CzXrKeGJZiYfQzyX8200FVbwY+38QXo4Rk6GyXo1M+JoySzDTFcliZ6R4FTt7vl2K9cxnEz6aAgI
GPGjNqRtxg5G50wnvjDo5JP+xqf5Nwsun9OCUbRXX6Ho/uJYbFh5iK0RLX3DAAGtn34/Th8Oxkra
UyaIuxtW88zCVg2y93GzCJRR7k7Uf7XhtzB9hfnYx8TJeE04mD1C9XIPaqpjTbkOaO/LB20vtvXM
VWh9BU96Us/aywPheUFGl74/EE9KdJn0dn3t9zEqSLNHhA5gNl5PS9Lp+0P9NdG/I6r5NN3LvBzZ
IVwZm6xfXvOLQXgDamzRoYq7OzpvHNJpfAh5zwvtWr07Zcv7j2P45Y6c22Ag345/Pt+UMXOoe6mX
jKourXcL+tXAJN2/1pa6H5CJT5GLp9DmEY8XjzMLVfzGNB7jgdscDb+ZPeqXibo0Nt0s6VY/Tnf/
lWcyEgZvVEu8uRl2MKf/x4fdDQOZ+uu7LCCx78r7pazLP6mu/nhrv516dRVFEyQ8+c9zGNReTPlU
4hX/jNYWmcAYyI8Z4hBi87tT72gqmmI21/gC6W9lhEk82N8de3+UTBKpNxPECsyDAPP9vmR6KIku
1xgEfJmCFyYWOb7PYp2Wn2hGVID5hXKRmsTions2QVnMu2bxCJELMUMZYxN/ZEDUx1IPFHIDaSNg
qx0AVn13hvvA4YkCcrLFoZJidbEMcSFUgp1Ok9loMEdhyMjbvoq2vFaxmxjr9FXbikQfpLMEr2pa
fIXPZZGhk3RawQh6LK0BDWwOhG/Sdnhw9c/b6TllxP4u5Guo/73g6hpmm5nSYraOPFBrMDdFY33V
ostU3FZXX0UekHE4AEpz7dbK1nhJoY95nBmj431AqFQdovfn5UmnN7mPmmH/PivpEN+PpIah1fAT
xWyx2Ha3bBWqI22uIgdBMZgQ7TrOSkN7qdpLi3iIDhMbIZhPpieo2AwPQxGG9LpskbTNdUIva2Bm
j3JVsbU1xksBtOeOZ4d0yXl/XSRnzt2Qwcz1ZU3+zpshuEXBXuMUUD3obF7oNWvqMXH68KRrS/Eo
i+T+umiMWc8wwko4alOrbAvT3Rd2xrI/CSJYxdIXBPNgtEZy39kMeYJ4IaOqJNQDLPMmHVd0/tMf
K4xG97eIrEuFeDbUNrnH57WtxtdDp2sx49YcDGyg6+zQbuZz7xfiR3Ku9Rk+aph4d/e2ENbX/Xis
7775wLRNN9XhfrnPDDK504kpUQ9E7mNeQHBGJ1ys4ufm1rxxvzpneDjyNQmYr00e6/zq17Uvysh+
6bO314WERSM6P7rETV+fuKJ4NMJLOKK6j9Vg56/j4avEb/WJsNe+DrDUbm7hgfR7BPwSA/2Ecem5
lD3BLjwMw/QUERbJt/31bmFMV9OXGy2/RA8k5LjhjionX3a9+xhAoqTzB+Ot3lWVVXFbTLZkZEyI
GAVq4IVVTYuScold4t6+pMaKk5Ve7lIo8M0CKYeTLXjteQAytZYYYUcDxfIeg22TAtlNGGJMH+uS
x6iJJ3LIAXeaUgba1WkgLklqQDgZkcC0nUE87eUJXhyrwubLQUpBr6JNaL9ZPS8WX8wPSDvITs6x
VD+M0Fnk+VuabYdZTG4Fz3viJiDv2jUvsZwcZHEerRtH2d65ijre5FQ5Ae3/AGkfUsRtW+yGytPG
16tVNyWGnooWpxwu4Q6qxnqizqVtaTBosrOOQpZGt8QmXX13DGsfH2yqhnTGATfS82NLrBE8eyoy
dbU4E9YhVUdVdLOG87bilP33SFsgFj2iPanDciTMvRoO6PvuL8lxGs7r9xY8xXUlIeM6NPObPfIR
b7TGHt/xXusPueoyJ+Zl4Clo9K2s7riGyXYHVSMx9aLURJ0dhE9ffOM4b6G7xhug60E5bDlFd6lk
E2iFaKufV8O2jL6ksrDjx6LLLlk5KzXJ/cdJ9sIBGJBupYvIB8gzi/w2iBbPrZF5xQO3bWKBXeAl
YRUxR4d0b4LwsW448BOcY68co0FwVR9XjmisjlenU61rDSnDvO8in6JkMNZ5uYa85hYzUXfr3JRe
CBBROLf5EzzbQIFO4YJiTZIx4JmMkD3ElJ8Tct4H0nLU4FbPma7o0gyvW/iJsi572slS8xvZfO6k
TbKUNrdZwYp0d4WvzpXWPFTlRV2WbyUMDMAXFlweGD79zRK3Ex3KXPZd3bkj86MA/Uvnoyrr4nay
1g8huAEsdIJZdssstFKdQYs3TZwY0yMJ2dzJPY5AEdw2Nr/su54lnGHNmoHP8jkX55lL5xtXeM54
F/cJt8Y9Z8LHCP+6LtaZy1vw/bEcVtqrZhVrpkPFmjgE3wA5OhwojMgXGy2eE6ZS6e6SmCXTZ7II
LcNN5gWTuunUYSm/vojQSpvtfQ/v07zaU55IAMsIg/a3GxzO9Y3rr/Wihbxtv1O//Hj2Ng54LkQw
/ISte/0l2XLTF6aiR3lWkeuD+Wwww308AsiWuTi/3iAks1uavF6c5LCr9haFJOhFaXH7xmiID9C/
4o14v5OW4/2IeZzpVssbpYBTCNFom83lVTvPiVoyeXVv8wZJqUWbbvpC4TPCI9BMB4IH/N6azkae
OYOB2jytaBBtMXxTqjHvwKjoYC9Z0lnClgNu7Tv+Ns4RyDm6VKtoGc7yhbKmUN/fjvJSWvcOmlKO
4MDTC2tEyjRmBS4G8RM9643mQ6GZp8upneD05M4tGVVi7Jj1P1IFoFUm6CryIHcyJATtkTAZ4ZzT
CKD9flL212/e+HN66r6wm5LLiEdCQ6fptkfeATusKS22ztznlZA+v7rTffshfOkP/5aPoTtwHzHY
euRGOLrFDJCpVzubLgikiFp7Qr9un+ms7yQPs86ZWEyF83RPkFF69x4b5VPx1V34Od4hPLELmDgc
XiaeJm+eq9uMFLql4m+iiOdknEtGB96ZnuQ/RDwTl2jq3XBiiV+T9WMjbT7q2W0eLZQXsIdg9hHc
bvMFJaOHKbZUXplcRczIW0eRSbcMzXPsXJ3zaqWgs0C+xjFedrIAQVrONEN28OAz4yBTaDtdRxvU
JdC3iLZX1slC3D6whA02LwfASMiE+X5qqkhZN7g3NelVDkBysm+nMwgvdQXVo7HFbfFa+vdXiaSD
B+8JRiYu8H4/yi2ewz5Q3xnjJ4s0dXZcLb66HKCUcUiZyJ+dfTMPOTHaig2So5vr/qNkTjWh/GHy
Cj2S1uPDRqG/H3xtdl9iT3qZzK5OacuWEShuxNnGrhnW0/3qcWsx3kLSsmV0Zp4I4Ku2QHkGyTYC
2Xm89B7hsfKhAqH2HG0w5dxY1G5H837BsYAEl8qhiwAQAYrCiFjI/NKBqDnyGp4byDAz0DvQMuwK
iMLVi9zJrNE8tbObH2wNEpPW+TrbZhA2HrSnoDHEwW2ZLYtluMoOxLzABczd+r1a3977AxFKrgDn
UXKL1B8kk/uwU1yVRKXbjv0t/ez2/Spm3NVxCLGvKzIImb2S/0H4hxAQ5cB2GshBS+dzX/nkDrpi
oIHKLP0nW5/NwCh8a/a3lR7gwKPTZyn6bCjXWrwrshfxa0ASfhiwlD280WLLs4QBnrAQiBBPpNlu
j4wit+kzq4SWQXObxRrCH5ev4i321G3+3vVeBAAIQCWneYv1Qcg9HeZutTXeuRGGziV299OErVaC
arZMGnxZkzeiErPCGzpGaiMwFWW49Mbwqpxn0TZs7Bp6hhRELBwZJqPxR0noh/CFcdhsLC1xp7eA
1ELKXzt2VLNCUW722MwGK0uBuRG1YYmJL7Jv5M6tTVkOnY2Qrxo3abCh5TasugYTpCNeZ+RhMZ9d
3qGiXmMOr2ZGhNbL8GYslXXOeJ6S3AIPbaUevneWWmT185AdcZSn5ovwZXCzM++v6fpIQCJfSzuT
ZQYo/jy0PxY8zB1D9Mtgq8Hgt6tiJ7IrGwAxScD1s12+aa27U7+z9k3cB5dysTphwSIG405fiacX
/s7gwvQ8qqBQ6EXbsXu/MI+diTPSvsjqvFuGV/lPZvtnXoBTZn6M1/uDSwOdm9W91c7mKHtHIr7d
1K8W8WpwPz5IbAOeQivP5yA54mv5ttXhjkKMw6t5kInU4A3AWrxh0+HBG6x8lAjBPRhckoS8Cros
35LwzCATJo1YWzzHXcvLFz3jAYNlEtyvX+G9tDcftwstZ4scdXNiV1ya4GWYqF4js17Vq/6M/c3g
0ffQgmg/bhmdI1BS/NsRrlUxK+ZI3PzYRXbj9hf0PTbPnZ9wx0dCLwheEXaq6jV8mI19/ljH3/CJ
d+NPHB9P6n9s9rsenhkpbeP31SaLymQOicdGeMtTRFALiFa0cTwQYvZ4WbmYuTV9pZwU/5dbEVh/
rqvrihAD89cWWtf4bKIeMgZrwlUHrfXHYxhpJpIdI7rgcn7YgEXh7ZZ+sWqgnsAg5qD/8M/sSiyT
48oKEwlBAs7EHtyN5Cv+lKwbbYRYgVhwANZQEMKKmqVLw+H0xrv2A/+E6qnQEhQXGMIc5Zh1aL3C
iuxvVOmzYfZ9OJ8K88gzvQLFEui8lzCpbrgQaRByYoJlND7M0L3NHhtd29LnMrPL1K7sEaNj3M0G
MKO2KGbhrHzTlwZHPu1TYQ9m1/bLJRXqLF6XXnN4muOeO55Emh/ydMYydmPuE+5mzdmCED+ILuM7
BofgvJhzwmDDi7xxi1Odzh3ZuwQ/29UmbB3Be/IidG4FYFf2/jd7Z7LcNpal4Vdx1KZXiMA8LKoi
EiMnURQlUbY2DEqkSJAAAWLggFU9Qe9726vO5/Cb9JP0dyW1NaQspV2RttXR6UynLNEk7nTuGf7z
/4cQjiHyqjpXZhnyDEfrUcEtU/JmCBkh3nfn1Zr+boDwQ0QkANqooaqAfxDQ54JjwH+tFX7POT1A
bckOpX52tInIEOAjNIKoy9M/GUNjaE+Ti3U357Rxlrw4Yj+zg8uQ5HrTN5kVu+dwqKtW1R2uaasA
0RZsGQhUjt66xbY7ZctyRIRbIIQvmi5YKIXY+K4Ugq8GdzxkYUglwZoBSOzWjRAsRVmUnK6PlW7c
AV5xJMTE6VzxyA8EiCrhPSlQVLlKV+tSVuksQuMqvqTI0skgIOuYEBkE8N23Vp0NL1yeLk/5qQ3i
VLkoz+NOeaQJ0alA+KTpkGqMxXXk03vsX+keIFQPF92fdzGURCR7l37MFh2j53WIWWNfrtj5u4EV
VJCfCRhrQ1lnF+G1duiEiKAHWQJFAygW6N6+J5qldoGJn02cGQq2IuA+7hWiHgDrjrn2Gctedpdh
KmYR15tlSaPlsYKQ+pzDzm79pLtDOszJOdJH5o4HfMKeOYuP7AFZEWCWJJ95M9IH7sDCeonlFzBa
EhUb0AU2/rjSVSoXsBHN1H4CQE1pwad2JBqxeTAY31OqcJQ4fGAT7BGce2Im8vptsKe9ja/BWryH
knRFLFViVT+BMal9I8pvmkiJ4Dpkd1jsDsEhJdbX1wPFHc4oOkBOqkN1XYcEkNguC8RYgs+c3CRd
cWCrm+WIQI8jJ8wsDchwolUBXj1tDWZbx9LkyG86AZxX/Lz2J8Qq/CK6xWBugz4oFB5qFyqRxt/c
+QoWy4rgU0pG1tFiVHXGYYw6ljAWc5aKGMFV+kKaGVRbC2Yp8K8kZ9hVG+9MWPMzHGsWhrqre1l6
lCT2gu0Neq35rU1tPEz4BdRm3CLiDrB5CvGRi/5i6KCAJG4b6SQfmcd1OGeTYBuwWPoArkWKJcIF
gQ8HkwgXIAa96ViQt7PprwW0l2fyGmo9BbzUvJ5LZA9WixoYtUxhLQ+9si2+k7ZVbrE9sktc/uJY
Ju4scS9wY9102kykCEFPV1SBxDWn4uY5nQmN2hhyy+It0QDDgLpTCTJnNTLI4qEQG3zUAU37XZy7
II/ikCyLXwxNvFQ7NDDr/R7XmYiCxDr18EkgcV9gg85VKD+QbIhynD0qbsW5uQ3jcNdFlDki0vbO
cbKORRi1xaZARcd8meJqNBmu7rLKt9xluB5tSLeF7CgFeWaB2eVBewNBE+NgT6DXjM/nM2p/XBTi
Os/7ZDM8lToMPDI2HiC3O37ywsWxNcO5J3OHVKP9zTawoVSHDBIpvp54fC52lpkJZGL5QJ3aY9W5
uIaSAcOUEXeSxac4CxODDz7POzMHAKgIdTkV9xmD3SfKaWxZcc1Dc8t6gjzygUB1lgFFb5RAqwh1
UFgKou3RuoNmKxNYjcZlsFG5y/cBqyEosam0B5K/c+srCiKRHZTQjVn+CI4gkbkdIakApxjlfhoW
b6nWBJmZ0LGj75D0qH5CBYaSGNOMPgOk3JT966DilSYeed0lk+bAkbaIoBO9TNAJgXTXm8O2d+jm
rFbSWeNpA0iA/M6vj+2WRseOzPbYwj6KcKG3IhCFGv+mudm0NU8JmGz/3HY7F+41Pq4vCO81jr4B
/bvuD7YkOGzfJuSk07WFqAdfU/SFd50dXQD1xcFhyoljSVtzSmSgHT5vzEILwyGsgkOVf30FoQK/
hCEju4rrJJxJSJ88CO6Z7q13PScPW7qXV5tbDo0drVeGS7mOOaGkjN2ds1rL0z2LC6/BTdlWQNbL
oXBkzFDzJnrIN9rnAAI9u2te6BfmVYqVgk5V8eLTcX+JnDisl61FNL+SQiTTA1JogdwfKacZXyK3
AqhXIKLNCGYd8sQrdySWBJICnvuSUnbQwJexY01GRI/it5NTyGxcHGDVPRlRFoeaYCpgm/g5Y5di
ZAHp8QpFGPXq0JL86dq7WVzqcXgA0SK15mF3OibaYovDuYdyjS+o8CL1RPDQlcAJlxyyk5vpCqMF
fyq5fAP1JqMtyOiQ42wfTqSwYhxqJLJrO29qBqM7djzRK+C4H3nAOXVXyByWCDMeS77sdvqTOBQi
6zXukijJLhmNOjTalCHwoyAKFag1csYuObFAh6VR8+DOu3WbYLZbBzkx4NzfQBrJno5iHwPBO4ht
bUHEB5XePGRvRlLvENE7Hm5aUg86El4iDsDBnZ7AwsJ4xJ5Fz6V3mbonJ2KzivdZezv31Gyh6cim
VIhy6Qnmq83ZfKrdiHCp8bC2zDa/CyvaAMWdUCBsY2WRwDgX5w52R0wc8r0FSZoxuhje9dIcHLpO
u1kOUBy6snxDv4AAUr9Y7yiYyJfJJLOoJJL5LmDK3MD9oYTfXtl7mSIB1N2X/qx/vCPiPVHEUkGx
oZJOH91rhT13Es+k6X//8z/Oi5vPv79Q03v6Rg81PRt1XtOw6aPSNENwIjxQSAv1KrgSHGgTFFtU
0x4xKWh0Y8EIr4j2KZUfPUKyiRqgY8sWnVCCiuhbOOn1F6gUHs/B85Jesq43zTZD+Wq+Iy5YkRZF
qZk8uB5uHIR/UEd34ozmdu62eHGZx8XVOMWKwHieQHy+PS5kSOLpJEGbKibE9839SXEKofMK1vQ4
blk4vtTz5iN50cpPtdbhXINnfTkOZVjX62hLvYIuqFuBiPxG46Knr792a/S1C9QwihtgDWA2ciWC
0RYsSUlxC+kfyPbo+BAVMb60SQiUBrI7WenH8aEPdhpKlzloKptYjQqcSl/RDcwjx4vTBU08SQgn
7py0HR8vyvvlR9Kd6rVElW/rnBZ4imANGC+BKcM5hm2XnAjfQ8liD+jlurjJbzJegk7VJXwJ6JLg
1OJyLkalA0cviCwP/oP2uAt41cpgYrA65QAhSWFbM5JypBEHam+b7t3ddNd07SvYN93zQxvH2e5m
mr9bDWNzpOt0XaIvO9iM22aYOq2DBenZ6v+ZUcCN0sZInd4Cm0rz+tdL9UdZva4+DLPD5AVG+Gfv
8nCcDYPDqoAyFcqPGh/wcJxNBZ0Ih1OpKzT0Uzx/OM4GvX4IQugvtUoqHHTbgFRFdF9+U6uk/gxC
fQdMhQ9FGBpENFHDeFqh14EDQB8qLdr4HuLqdEA5Sse7YNXHsytD2tMWg8QIoAGpN57V9Pdar5bb
9E5AJgZ9NWReaN7LtKQh67jdwjO70PuV7qebPUoyHb7Lj53iqNY6u6RlaifLed+UW7HjiYbMDXVI
pIknewrjtM+JX5u+Zre2DS1W3U1fXgf8WUXaq21yREdaSBcOzUJCTPnQJx5zqKF7V/Vw1wdH6BsQ
BCetHHd482mpDqozhQznUDZdBeLJdkFc1k5iP137AGf5UXUWQ09F6tjxJJV+RjcZRxn6z3wyevNO
a6uLVy2oWJVHNIPaNF1QDqBVbgz1SWCqEX9xPbCA54MlpSLneOB6+DeTTtGarppwvqVoHyFDTdfa
vleSsh5osDGqrTmR9I7OiOsNFQW1vcYWQEYx1NadBEQYAYU2UBcDtW5dO55R3pS8imrcfADjOiW0
VURzIqSUTR6l1DHWagvU4Tgk/8b0zeH59jZmq8Kpm/uQRJK4kwFb3RRES/BINoNFNsBuLkf6PCio
ByKFtCfgItmL4QIUVwMKO1M6OqGV2UVeGaCaiNdolrevyfsfyEkzSsS6mv42WJDOPYTSiYxunW5B
Dm8hSt4ykdet60heEnCVrWKEzJEgBM6xnVQhXL0+iD5R+xjxNnoT7XkAufheOXGOGnKNekWVGzLu
ViNR5DSOqK+sx4FT9GTF1S4rrg1kkeqQ0BmW+uVVDkL2RFp3FqMUQenqSJRVIoeMQG+w+Vgq/oFu
287ueovy3dG+aRkRVprMNMgUEe6NL3Sk7MDFeYGsjsaniyM6pXTlHOxAlUGkcLaGcCXbXORLGhFR
6QBEqWpeZsS+Bq8ce9xG0SxZ4DxtojG08iGv1T6lZyl5Aby6LBwfiKAhkPX0wzBH01gaD7NA7Wtt
pFwodw/jcOyVrbSN+b+uSdNd6id42RbhjjFFEzKqZgC90iudNNce7S5Y3oUYek5nnezl20Ab7BbQ
F+BKr87ySdKnJHC265noD4noC4dv50rTTbfunjRLv27RnJVBqkWWCJcXUbzkSJkeWR8Bnu4Zp1q4
9AnBnxaP0UgJbeRSjXbtNgMU/SLB6u1trugUGUBq5G0/inZyTOk3gcD+hKv4C3Y8TKYphiIuqyK+
rmghoG8hhrlh+ve/SYD9+UexdTBWr90r66qYPb1UnvzVh8tE5x6xEAK6RWcp3BgPl4kDFaXuGA/N
9Q+XiXWrmKrCp6VbopXhkW+oOTBsQVMJSeSt2/gtvuEzLspbuBcN9w5MXjIXG00VTy8TZkOOzcWW
Moy1AQfUAF/fGMgVyBlC6Tb9c3ujqS+KJaDuZoxpWNqrmFOpVr2NDgmgBCVYkNsg4NfL5U0p79Hf
MGJ73U+sBl6tBuz7qplKiUU71K7A2ixKHC0HlZ9NASg0ydYYl1UJ+Cq3Un81VkFoUFCQS1TV8l2k
1giVaRR3qiOV9scNNNLHTXmQPUhryI7sUopHh7ECB+0eIS8t3/YOcLkoDcr043E+2eOxU5zikGvK
7srQysJLrfyszgE/1CshIFnGYZrpk2Z52MPGuO1sVvBFb7Pi5LCTDr5jro71Uh3uM8dNReXVgjHe
ysOyST45xvp6B/55bBBV79prC3j/xh4q23XrIMSV1rut6q1S4OiHJqP/eLUJzGKFesgWEwOR5jo2
L5M0sQJ5TtUskzef8vGWUL5ewA5ZbxYjU96W3lIBs67UOnDYHPiZY4NYMQqJ9GuVLYP5Ek6v1ElH
lZxCq7sn11Ee0paiHGgb0VXwrgrGvlF6h0QFZ7I0geHuaYzYWvFpphdntT0+bbYa1RLbSIHXjCf1
An6/fL3ys0PquPFhVbsWBcJVXpyXu2JYHRTFs23kT1ZgCfSxGshZ8zEp6nPzQI43Vja8Ps4IheeH
JjIBcxEy7KK9YV3G84y0Wr5Fmqah82wp4fHnoFGMPPfQU5o5td1Nd1s06xbY9k2627mrNfIJxr5s
QtuoUl+KYdxa1PqFHuvnjlqppEdtMwP8hsRbVa1rtwSk0+QFPACV2B7pxvJUiMoWZobwnCTTcbuz
yqPdgqJPJheRqcB1ZkgJcKJVRZ5ftWkAISI6CIkREQppa3Iy+Vi6qmRtEabSMneTQqbRtt7u2/Ic
tH+8yWL/L7Gqf0EAfm/4/Uk1CW4N4kk9Kw7DWVkn94Qsgq9lIrq8bn8ez8pvesUXQ/XHt3jTAt89
0P3L+pN09ve/HWXY4M+/Pxjhs0POt5/b9i9G/NGTHx59nmrJQgv60cX3x8e7m4NXnv/NFzz+QNSm
HgctLwytnxXV4sNv6Yz7iXCPCed6uhseknkV4gDr6tH19JWRQWJs0X/5A0f2ZSrvOjRfGNlJ/fn3
q9n10zE9WbI/M64fOagnIoYvjMibrCfTPyxSzd7k6MzjbP32gNQvO+J/fa+/eAs+7IyvLtTTFcrR
gp/dbbkf9Ii3rglnU0NiDapRR9Vxnb6c5RfWofdvn/89mZFchypwKp1O4jWcqNFsPdvGn//rgSnp
7hQl2fUk4Uw9esuvHKLb50DMUlCDq7aBgv3dc/zYafhKa8IL0/BCc0I9XzxdzT8/+ic+7Y8zJPeL
L5Q8bZuUiibjl762+KCeV2zR6feO89dYZZMUkmMiK2ipb1wQpzP4v7ZxkhCyzR7dDu9lZclrOzCK
mc+YjV/Yz/cH+TfGK0053jPGvK2/e9i/xkI/rSO8trFfLkl8qxH7qccY4uIXBYFfWOyXJIHf01gp
MOnQbUN/TWr6jSP826JeV2V8LXmToqKj7N2e5hcux696FV/x2d+H2cIJgYjcJF9DVuMNb2QYC7ej
EDarlAbFJC6IlqRbku8ZjH176ayYpVfJrHyP9lunzEn/oiM7XFdvTMSXFYdAEAfy/V1WJOgQCIaP
gerNWz7ow2CJ4N61M4K2DpQolL/Y6m+N+rf1Mqu/d2l/hQv5uZDQaxfyrT/yB02ib72kfo1Rgywg
u6zLaBC94V+PhKtZTA53cRW8bIKLViJkugZ1Vs3W5W2c+32H+xeZC4qplGhtE/2K12ONYVbOUrIw
MB59GMzIzMyYCCoJ79onNZ7xBr92BO45iaVXGYnf44nA0AuuK0vD5r1l9CALSkSiwZ+VH46LdMad
/r0m8Gd652LI0GzZCmr2xmNw1AveuZ8V2+fZ1vfhuRnPOMhe2933Bn7yhM3sXe7mZ8I/rw3au1MQ
EkmzxyJC73PYT1VyXxv2M6Xd9zlc/FIFIBQ4wfvU5Fejr/vww0sIR973bfUMuvXaGg+SSYV1hoeK
vf0ECfYulxvkmSBAtDSgAY8pGV+w18c1GAXhqXzvxfQreGa3HJGWoduK4ryVBb6zYiLi7s/iufhf
xgxIPuVCkTuMis//ef3d+/6n3tKCqEelCKAA+7sr6X31kPdmH/6PbXlNZvHB0OgmUOnXffPWJM1L
jvt3x94/dZWFoIYIx2R4nO6yhz+yygRrqgLkldqgTtXl9Xm+mJVVKrC179q0YEgdWzFtiovKG7aU
U3VaT+EXZeDfO+afu7c0GMQ4QTQVKG8s7mhWTGvK1u83nAcdTSWNSE60UbxhMm5TG2jq/AsB/M9d
WAebobOPDUDhr5/a3uR08i+UDL/fHXjLjCH3JF5yncwmxT/+BwAA//8=</cx:binary>
              </cx:geoCache>
            </cx:geography>
          </cx:layoutPr>
          <cx:valueColors>
            <cx:minColor>
              <a:srgbClr val="F3D5CE"/>
            </cx:minColor>
            <cx:maxColor>
              <a:srgbClr val="FC0E04"/>
            </cx:maxColor>
          </cx:valueColors>
        </cx:series>
      </cx:plotAreaRegion>
    </cx:plotArea>
    <cx:legend pos="r" align="min" overlay="0"/>
  </cx:chart>
</cx:chartSpace>
</file>

<file path=xl/charts/chartEx4.xml><?xml version="1.0" encoding="utf-8"?>
<cx:chartSpace xmlns:a="http://schemas.openxmlformats.org/drawingml/2006/main" xmlns:r="http://schemas.openxmlformats.org/officeDocument/2006/relationships" xmlns:cx="http://schemas.microsoft.com/office/drawing/2014/chartex">
  <cx:chartData>
    <cx:data id="0">
      <cx:strDim type="entityId">
        <cx:lvl ptCount="33">
          <cx:pt idx="0">5293927752460664833</cx:pt>
          <cx:pt idx="1">5293928192342491139</cx:pt>
          <cx:pt idx="2">5293951599478046721</cx:pt>
          <cx:pt idx="3">5293950800597352449</cx:pt>
          <cx:pt idx="4">5293950806788145153</cx:pt>
          <cx:pt idx="5">5293953081107546113</cx:pt>
          <cx:pt idx="6">5293927382388834305</cx:pt>
          <cx:pt idx="7">5293949338379091969</cx:pt>
          <cx:pt idx="8">5293953144240209921</cx:pt>
          <cx:pt idx="9">5293952808779776001</cx:pt>
          <cx:pt idx="10">5293951900176089089</cx:pt>
          <cx:pt idx="11">5293927712916766721</cx:pt>
          <cx:pt idx="12">5293927654196510721</cx:pt>
          <cx:pt idx="13">5293953213093904388</cx:pt>
          <cx:pt idx="14">5293948341594357761</cx:pt>
          <cx:pt idx="15">5293949681557045249</cx:pt>
          <cx:pt idx="16">5293952870754811905</cx:pt>
          <cx:pt idx="17">5293927036509749249</cx:pt>
          <cx:pt idx="18">5293951640414453761</cx:pt>
          <cx:pt idx="19">5293953942449815553</cx:pt>
          <cx:pt idx="20">5293950146973794306</cx:pt>
          <cx:pt idx="21">5293949508332290049</cx:pt>
          <cx:pt idx="22">5293952843273732097</cx:pt>
          <cx:pt idx="23">5293927195540979713</cx:pt>
          <cx:pt idx="24">5293952979219513350</cx:pt>
          <cx:pt idx="25">5293949265565974529</cx:pt>
          <cx:pt idx="26">5293949940798586884</cx:pt>
          <cx:pt idx="27">5293951227460059137</cx:pt>
          <cx:pt idx="28">5293949699693215745</cx:pt>
          <cx:pt idx="29">5293953279816892417</cx:pt>
          <cx:pt idx="30">5293953317146198018</cx:pt>
          <cx:pt idx="31">5293953341959700483</cx:pt>
          <cx:pt idx="32">5293949906472402945</cx:pt>
        </cx:lvl>
      </cx:strDim>
      <cx:strDim type="cat">
        <cx:f>_xlchart.v6.14</cx:f>
        <cx:nf>_xlchart.v6.12</cx:nf>
      </cx:strDim>
      <cx:numDim type="colorVal">
        <cx:f>_xlchart.v6.15</cx:f>
        <cx:nf>_xlchart.v6.13</cx:nf>
      </cx:numDim>
    </cx:data>
  </cx:chartData>
  <cx:chart>
    <cx:title pos="t" align="ctr" overlay="0">
      <cx:tx>
        <cx:txData>
          <cx:v>Distribution des coûts sociaux du vélo($/personne-année)</cx:v>
        </cx:txData>
      </cx:tx>
      <cx:txPr>
        <a:bodyPr spcFirstLastPara="1" vertOverflow="ellipsis" horzOverflow="overflow" wrap="square" lIns="0" tIns="0" rIns="0" bIns="0" anchor="ctr" anchorCtr="1"/>
        <a:lstStyle/>
        <a:p>
          <a:pPr algn="ctr" rtl="0">
            <a:defRPr/>
          </a:pPr>
          <a:r>
            <a:rPr lang="en-US" sz="1400" b="0" i="0" u="none" strike="noStrike" baseline="0">
              <a:solidFill>
                <a:sysClr val="windowText" lastClr="000000">
                  <a:lumMod val="65000"/>
                  <a:lumOff val="35000"/>
                </a:sysClr>
              </a:solidFill>
              <a:latin typeface="Calibri" panose="020F0502020204030204"/>
            </a:rPr>
            <a:t>Distribution des coûts sociaux du vélo($/personne-année)</a:t>
          </a:r>
        </a:p>
      </cx:txPr>
    </cx:title>
    <cx:plotArea>
      <cx:plotAreaRegion>
        <cx:series layoutId="regionMap" uniqueId="{B20F16B1-61AD-FA4E-8C33-8AED9EECBC41}">
          <cx:dataPt idx="29"/>
          <cx:dataPt idx="30"/>
          <cx:dataPt idx="31"/>
          <cx:dataLabels pos="ctr">
            <cx:visibility seriesName="0" categoryName="0" value="1"/>
          </cx:dataLabels>
          <cx:dataId val="0"/>
          <cx:layoutPr>
            <cx:geography cultureLanguage="en-US" cultureRegion="CA" attribution="Powered by Bing">
              <cx:geoCache provider="{E9337A44-BEBE-4D9F-B70C-5C5E7DAFC167}">
                <cx:binary>5HpHkutI0uZVyt660QURENHW9S88ApIkKJNk5gZGMpnQWmM1d5hLzD3mJnOScVZXd79XXb8Ys9mM
jRHJJFQgEHC4fyL++pj+8siet+anKc+K9i+P6ZdvUddVf/n55/YRPfNb++c8fjRlW351f36U+c/l
11f8eP782dzGuAh/lkWJ/PyIbk33nL7921+xtfBZ8lt3M4su7uZ9/2zmw7Pts679D/f+Ozt/ev7a
zGmunr98y8rHLcNGv/221f385ZsqU4USSkWN6DIRZUrUbz/9/H1rvx3s33Js4hxn2bO5zf/rv/33
4y0uOmET411muLq7NQ/BnLpn0cZl8Z9e4nlru1++CbryZ9XQZEM0ZFlXFezGt5/G5993acQgVKSi
qmuSLtFvPxVl00W/fCMqnqUqsi7hAYqOPW7L/u87ZEUhFE+g2CyV/jGmuzKbw7L4xyj+tv5T0ee7
Eu+k/eWbRsRvP1V/O+4fY6PKhqyLqihpRJEJ7n/cDvjg8HDpT2LVqEIRFbGr9mxWrXjiaedXw56W
27ivrPFLTtxWg6xIWNFshhGKXXeaBkbM1Kms3IyYxgr++tQf5b6KAJcsAumeRFA+BxG6DoZL/NTe
NZUpIcwdJ25wqhOzInYzPg61AEGdQGCPha1eDfybYshOceouoZ36fc3asyDuhM6bIq5clYdmhzeJ
mNJjspoYjIi1rVXMR6nh8SGPNnPO8TuMmWywXjBzDYiXOoLCNG9D8TIym82F0xIEai8DTGuZdW7y
OZ9JBrMZ+nLNRtluM0eJQbEmHraQ7IpT5UrWnIH8Rbx4MbFX9cKCBqQSGpk31A711dA6+J3lDBci
e+VNmwFHlc7YiqxaeGjdWnga7tN0rhVOYzQQLtyYUp6LMC4fzXzB/XjgKJh6ZnXYQ2WNw9GfG2Ej
f1VuKTrEYLG+Egsbl7BfR4tVtW4JRurgzmiX+4aN1/31d9KZ6rVbY2fVa6JG2PkoALlc4TP2pWAb
h/tg5JIlsvqWZpdqABxDPKcPfLwn7AJ9vFotTNxW5CyXsAv1TentLl33Z/xSr+UNb2YU3Yp8KQ2v
3KzZSJZhl8q7JnsxPoP3ZjhLpTdlkGlAGxBLWAgkMVNVq7hrru7rB5LAPLKiA6JcqsKdE25UkHXm
gs+74Thm8jt5r+5P0nFRMdiYcBwDheSQxwqow2emfrT6uqICdKvqMjipXXVQCyofVkp2LTqTZlZC
GEmdfjAX0nA9svBSqbqLhgi04UTiM+kMqEvLSKBpGTXz0MmyqyKVLEjveb6A7mvCZ7Qc4uqtSU7Y
jn6YJ1stHOzU3L+ntiiAmgOuaW6SXZN+11xE4sthY+XCIVn4kjDVr0bJql2psGtqBwqLDmPEowO1
VU/3xMhUvQqiQ34yoF9TP3zmzHgP3g+5xpJt5lM73i2Vj2OXLabR24KNP22Nvin1GYelHiWYeV9g
8ERmnhIwMkvo7mn6FumrCkSrKsxAORcaxPFN+Qo1GcaJwnso7bSexQEGp2vAZPYy6F5ImICxGd/y
ReXUxm0ttTM/GGYmz5eRNzfB7tcV9uOaU5d+BjOPW9ZMXtquqsSu9LV2ICFE5Vrq+CIAGc5V2YNe
f+TZVasEJiWQhd5YLJworqjDHLCx82kF08iW/r00CtC7ihWhIwUhdIMZsEU3K2mVtmyYbHF6vI6V
VoGZd6B0PKC8kFZGb8n1pZvNi9RYi5c3vFwHPXSJi0twNLZlZok15gUeLr6wSclnOIAm8Sh1VFvI
eDObDb54fE0/lH3Ld4LGKzNV8IU2G2INhR8Tk8A0s2TkRsgNCbIMyhJIaIqPYYYiA2Ob3GpMS6AR
06BQnceGk2sBac4G4TW4pUvoW43vV2ROgV+63XlunepW5MfgIQoexkT2EfZXtT+oX5O0IRHXPSmD
ACr8M/DZTGd1jFkRs2lh5WlcRxPW2n4AUTvMQQqKEnIxxtf8tcz4MPtDHsDYbEbtEH4m4jabXvvD
z0izhrPunXumgAKVK1iRrfntal+wwJTvqdXY+VZ0KvYlcIEXLOSZTXnAyg5CxckvxXAadYiwodJq
RtYrxOlBKpgyVTAOAQQNK6cZxPRaDjHM5EPZBePDiEbYi2MC5DDJx7Z/RsplMM5Vwsfeyu/ywTBV
HosQblvpthRsSMzVkkC00WYunD5Dyfy1uP/8N5jxQ0l8lNXcxGH0G874x+q/ncocl7++zvnnxhdQ
+efaJU7j6vkZ335/1A8nYen97cIvfPPDyr+Ane8ByH91538N66gIDySqUl0UiaH8p1hH2Nya+Pkv
cOb3rXwHZyREJpJOqYKI4XdwRlQVomk61YwXZvkOzCiUqgZVFUPViSx/D2eIgUjGIDLiNJlq9P8E
zkgykf4AzygiAidZFlVV0fH+v8czdUSrMU2NyM3cyVKJGQpm5vam7Bn73ixc4dibyQCN4YaiO2RW
jOV4NoPclEcu4guMpylXzR7NZh3s56/rTEqITlG6nrDQr+k21KCSX4tOQbmWgpmcFot4dFtEN2qk
oLtKAkvCE1vd6a40Ar50y6GXzCJZiQlLJdZJK+HT8Ed9L0kWpkHtoKuvkj/xTob4kAWgNlyJD2nq
YiHGAqxOK2q43Vq/RoS1C8OCvjCRDesCX7b+Fg2MXtsbohWxxtXks1S8UHIX1TS86jSbFOi1Omkh
qLtlsvXh9EoTbBlOiU2IHWebSHBUxW+nB/avXyV2ZrcXfQRcQqvYjKtogmoji1A9E12FVOTDW+J1
m/xILsm+2ciXatO8Rft4O6/iY1zA6AgJjB1kT/quso4Z2A6mj96hbvJs71rCZB2oAq979ycByrv+
KZzyCz1NKhNnXidsDiGtItbFK4qn9U7C8L3vIyvTTdlPL7i7JhthRPwIWcIXBfRTgDAt4flFP9Ur
aZffJSxsbPaMDbGHa9K4L0yKlSIooNdYbQc84TVTnNisN7hh0b16AmVV2pmli5BxjaVebSdWZs1v
87P9oBUPK7ZEsGD5hvltuxggPue3eq/VEKtQVuzZstTcHnJW4qfYqk5XwiCzZfQF6dHJh6h2SMhk
s5taLrcQ62D0MwzSRcRKq2PDZQ7Tp2ySguNeyhFZU5aupNP9bt0F0FikMk2BZ9m/P43Pg/x+EBMY
AFSW4MOlBafzW3MIu5NmxFgat/rE1XOpmYYlE+b5s3sLmWKOrmE1kDhYgFwZmoMntMpZyx0MT/pp
hDWWw+0S7ozmmS631KEMsXlCFjDWnT+fqtKkgnYYCh6PIA1rqp4i2ZV5Be86K1Yd2CbeIn8T4Q1k
V/Ap03jNVTNnpxJENprbEMb33Eb4DDphYubqkh+2z1JEkLlpc4dK/jwekmYrIIa+PQX4+LgfdmvT
fzMP9+2HDtOpP4iF1chOB5GzvhhAvcWMHBxDhjEHC4tENgE+g80hddpD7Mg3AcRDGkK10nho66ZY
wcAuVWkjO2CZxEbClZTV+zQ/j3EIUyNBUVSQhjIIzsSLekvOqjU53Sl2VAtRpvv6H3gCtL583mw3
hCGMwb/Y+UjeZ5v2nh7jUa+NpxCw8IMA8UpjWoy3fSes242+bCpr2dStFgpecbJpvZEFniz4Yn6J
HQF0ky6QYCXVrJoyg7yrCMKHa9pZgyufRVOCkzut5nGPo5PbOQt4+BSYOyAGxuBI7SfZGVz3gxkZ
BijaIT2UflSB0HvFLnrvTqKGsbOslQFCyQkzF9fn2l9yttAE8oOseEVgtwijQbXyFhBxpKElGE5T
b5XcbQ/ScJVCn8qAp4TtuRnsUQP9hRNZkL0OjzO3+DQWVn1id2+4J+6s2uAFrqo5a2Le3LWdfK7k
HcZ7aY6+pFtaBxWTncwjq85u9uPRcMh6WDDEG2ghdxA70JQJl3FiIsHXdYF8r+ofTQRK6UrQ2gW5
nYTBGiNHS3dppmCewDC1VHoqI4f68VsmrAphFWts6JC78XTXushsmO4j5egClhOufWqfcuCMYYox
T1nMHi2yU3lmFAHeEEKcmO6805OaBcqOesIMSs3ywS6Tg9paNEdoeZRlwKXEmNBX+tcw8cbvCZsH
m3SmpIHwRQszjU1aY4rb0Ho3xUxfMBSduAK1WoX4LdsEn8/E8bx2YHHMqwMeNQdIenhFWeQUBY+c
qgUDL/RqoDoI9U4wrhkOZ2BLyLDY7JJ1v3sTYhaquCptDMewNEvmIl/M+qTFQAwnWWBeG5E5r7tq
pbeY/px5jegNP/OatlZwjTuHqCEUGA2E4Yogbep2HyKV7r0o3vQBRAXvmk8V3z7Zbnz8Tywiw5wc
0s/ptpxlmfc5i4xr33tBw6XWCluOmDbdIbpFiBp+DjXzyRUpRz2AutyfIo1xrPiQXWXdnCC1tY63
oRMTnx4SskU+ZUSb3Jx6Lz6MNUOKjCTfR66P1FexNK85qZZuyWZlETPjEljKanxiVbbCfbJdnOwY
e8V2fGvtaht7iRXwF2tUMAnrex2zsOIgCe0nr01s6lciIDeV+9CmSNSVhOWhVyd+X2K4cqG3dH+o
TIG1b/Ebki19hg7Ju/2eu6MbPLQr8l6zdGdLt9MBcnf60jfChmz1j3lLb/kISW+1/V4WrV0qrqQF
hHOesUDfzlv5KO2l/eQFxxd1ifzIF3uGSx9xA4wHWfzoIHzqJz2CdmZzxuMMqut8KFfER3acPfNj
slK/QsNrV4XZ2ZU9O/NKdw0fC3BiR5iCkRciS3MjW3XHEAym8mUnWD0zmOT2kEKCvyK7xgIcMGwy
2QSmWPL36UXueaqa3VmQrBbfWlt3BTfcBodoE9nCOnlDXPGRvfWOyiVX32GZH0ZG3dAKY0tJNJBq
yU4KU+9iPuVc5/VKR4aBGVOH+qQTPlmLhYTeeNza3m5na7TydWSwWeIZKHvFllSoFTZ5YcTzGJDj
aVscoprJxMxlUCOWCWazbINt4ncvQchMqZ3LvICuwtrm4hCKVrsekERLpspKnnPRifm8wpuwZvjy
jm/+7d00IF9f8FLCh3HM1/q++2pRxIkR4LnFbS5Bb0BDdui3ru4RK2RIhFi3IffcKq3akkSzy6Ga
uW4WToHFoIZNDSMiMtRs1mJqDRNzBJ5uhZ3AQ465jeuu+t4pIKyE1bRtHmEG+Rc+1UBnwYciXsVD
XDYQ5U4QWeLCR9lZktWU34KFay1kKb54ihOViFMwvbBqXbjRLuq97NSUb4WPhLmHjCHDrvZSBXSt
ib/y8M243PXYz+Ntb7wb2NHSXOKdikfEq1nfU4UrxllYLyPIqN8proSII7G10nst5n54r5DxTS+y
LGZMscmW2tRVkxXV1wEi7gQEAcvyvEqP6bas+HeE5Q8UTMn4EfEjn6CKQYgqGZqG/EF5kYvvET+d
jTFYBDFyS7M2RVtHMpuwLUURZQE5RTxzMpaN0tgkikBP3mvMSePOMFoeSdDrNSAWYc9dzVMWwwvC
5Z5acSO1g9TGI1Ahqj/kGsrJaTV/znxxEVm+2O3rzA8UZEHM/LS8y3IFWsnovWYRjjKnl5iaSsXl
p1gDGU1xYoXIcZGfDT7tzFbnc6Nv6GVJUUGllmqlfoNaZITlTVNMvUZNkw0Vi4oEpAi6LQIGjqjD
7s2Oj55uZivVDmJAIi3wGVP8FLlNm0MfrUXV0elaUawZka0yAXFqFCpEcym4ZHAD63sWb6Lca6pV
Utoo9UwTl8zFDEULfynxZshcI4BuP+EYsLm1aQ15a/fHt7xjYY9ogpWqm6FEzMotuSc4xgvvei62
TCudSbaaGpA0zIMlJLZO/CV5IOgPSk6xQcVVBqcgmKu92rBQtlHLN1nZViPTPyM75DNEpmaOqDbb
I2Cug1WAGUg8/MdRI1P9B574W9RoVH7FDorw1PgxaoRhqZKqIZHb9VCjhoxCqMLKM/nKD4b3kn4R
zYVO5Q5u4KWHZDfe5MKcccQ6p/ZzylSZR+oZQRlipxJL6DmrYG6xoPLmE6E8YB46NJ/J5zBA9I5f
PWro79Vn6gyfAqCEekTIORSv8Ip1NmERVPhoR4j38QV+QX8mmgKkyE5k2RLuachIyfT5WcmHAANv
4P2emAhUu+N07DQXo53giL8F5+QaZUx+a7bLKeuh3HfbeJU63faEyM6eU1u2UZCzkHlaEkZ+hJ9u
29vKerTb/WhXVroabQzGziXnPITgTK2ahSZSUB/lXC10MXnx3FFF1L8u0XUOmbqKCpg6CN61nfiu
ncTPvkJVHpKvNAZ0hV6KY9da1Y16EuJ0iel2joXRuI5ctZHIWvlpRLgU8UZ0jJ7VOVPLlWqw0nCi
CbXHBgMz/yj8ASXH7KDgCdlZA7sz8SfvWGa+qUgxJYaaFgKtquAGwrkzUiKjBNQ4s8PoYio2tQKS
lcJUb+QjR4SbsuqtvwjcuCBCRmUrxY0KE2yhhnn6ehX65k3veaIjcCoOAb5ne9V9hWdu5ZigDS4j
KsvXnXoaWkyUrO2BSo5YQG01Xr1DjYCFVmVj2qnN+phj68RpJgg7RnuuVbzwcC0gTtqvumHbTUxD
hj2xvDaL0RxmjwyWGFs5tbLI0d34GO0zghR8XikvYjtCnrBfX4n/20KY/SxfPln7/4QOJuvUkDSD
okyE7/+/7/mtnz8d+09h26Mv9wdC2I/NfCeEKbqsEuXlxmkiRefsO1/v5dDhdQ2R/F4KI9gnWaOG
oqHmpWPe+aezh04f0SgxZCJLLwHt7xrhDzImuqd/UBfRVax+7+spmN8kBd1D2dBQjfuhKorFEs0L
VsUW88iEivfndwP0B+1Lvy+8v9qqKhEVVVckSdFwBH68REaCUM+ogvDRrW9LNHI0bF5elOikccSq
6p14qFWd0XCiKrIBxDKYCdYiCw+VzCfB642KlbeXX3ZaSkD7qbyVN3VAPWUx0SBbejtFkmrc25ol
2QfxJHGnZ+3LpewzaHMeoYaROjkUeQktsollqyPaR0LbWmTkWoNQy7DDQzQfxS+8CjYZohGXc1l0
k10jIjBkigya6HS5JZ91RLOn+oDkdWh5oXAxtFLsqw7aTS0AU20U8ljjSWOqDiZK1cmpWe+3+io4
R4yuFF4eBrdQ1/Gq99sFzxp9jeWOhmwfJYNTMbAK9XUzmi0Figfy4Wmd+5gHUCJ7V9cKnz9KjWuy
rRrhy1Uc3lWFF48scJSb1u3pc253bWWfJdEaUL8orKJg+Hs5dhaxJ0uziadYhodiv8gCDSa3bUIQ
BiA3Qz0FpW3cUFrpDwbqlxX02FUBRYnByVEJcxEEmInVElicdN9uMt7a8otel3uUFO/be8uwwGEu
5MGbtJX34j5yjY9cWNeiHSWYctfhHQv6pYy3knHWERS/HBqkC3Qnl96Q8L2qMiKyKjEju0c1UGIV
uhk9SiP3aQnZ8t6/tDssxDJ6emdlRpDamYGf2IFJRnSiZMEMTH2LmNkjXuE2ru5ErgoaYiEKHd22
5mQhKGIqqDDg8F5TmPedJW3bBlQUc0roHsamueYZxOdsHfr6NtikZ6LCdCW2th+sqw5XbOz4IbOJ
E7Ruw9u1pMdKiQA1uiTioV/EoCJ4vr5Att2aaD3j+fVXb14z9Kvdqxqa2CGEL7094wggwp+u+KMp
Xy3gyf3Ih9Y0AhNF6SqGYk3wqM7LZAhmNs4w6rxUraFnk+7gSemtWtOjdA0XJhxbM3HJXt4L1qaz
0FFczawEZZu4aFg7KF+jqT3eUH/BiMYlMH5dct7HTOnMDqWZeIMiUhdAShkKSuLEs5iXoTUMtnxG
XSbsrLJFzQFQ/ireh52IA5iCmrI2hfGNtkzvoElZUUD7TAoIRiZJrHyWDKEKL5kEiiOtFifZhmaM
kVTbtR17Quwm59FK17EbSegEF3d516yMU3FJEy6gcHESFSxjvEWhebIbsllCyC6Kn+tm6qXmWLDs
0qHgl0M4mJO2l2aOthFuScgHwckBoHH8SiSTNizckF05/OomNxf0YSM+ILjk6duwQks3t+lrEyKL
X+XoyRGw2V9hyx2BS7ivn/E+9vIJsi2GecbrkM01qJcRfXmvTgG1JqED/d5OQDtU8uo36YLDkB3D
CYz39E1GimMOTuAODkqKdrzJWfw2GO9dvM0Kl5JNHTqam062wcNN+ET3OOi4Lr2hmoRpaYfAkWeH
1h0Wk7Tu2HvDLbi2iGK+jOt0llBoujYUVz0DiS4iGERJ3cKGs+pNoiuVK7Rmg8VPUcpR9lLOK3R4
d+qMkAhdd0Nl+gH7J0vWhFQOTeVeWqHmKSWsTFYDIrLlgAeMYLjaDl3shKMbj79VlLTQiEDBAv3L
JufSDER3FnGDq7gIqTd9UeQqKrTrUUxZ4i846UDG4xO/OmsUzYgNLf2AbpXFkTw0Q2X9Li1os8bI
s6xqU9mh1WmsrVErCTKsT1K4qdcNJvYY6N6Q19L8IV6NrZEx3Dh8oeaIr9mNKKwABTP5rn4piqZ8
RaUmf+suKNHgJIKe0w3qARfpqzHlh/pVLr62XRq0vMFoHNF4Ef91kV6U1EsW1gTHPtgE6iOWOVob
oxsqSFSzYhWgSS+YEfr5/RWtnq/CwHKySYNNZVIUlwcHda5sQd7Al3Nx6J1Kcr/C2AwSDKv0I0Lt
zUt39EtZ10BxGG3qoRym22gKH7XPEUlyxRTVgETYzS+nOvJxKPvOa+kMsbAJd4ldokmEDnfrjKt5
JbodtA/hIwO6aXnWWqgk6bawUTzJ02czbZ0ix0JixelHF27Q4+7EjdB0UDQNW+fqwxhXiVaxpEIh
s7PTNGEZ9al0EloUpJHTD401P9DGDnGehM4DRLmN0+NA40wTlJokru9R9sAamIHk4aid8UcimHJr
ShHDcaMq5NMqR2GIVmeleYgxGrdm7WIg4iwPBXMw3h1WNLPARnQ7RhkstGer5/WaPIKtgZY+oRC1
1iLZ+JAxpsRrdY5P5IGHhqdowW6Yebk2CkZ6mLKjpkPAsrdpQTcDVc4EUtZPftZAdkZXzVOx8dxd
I8V+F8lGpDwerMCkLzeuXWEpalfYp3xboxyg8E5EUdccG0tYp5jsUYepnoUt7MilRBOaB75CeDlY
e0MHuXDHO8KTfCvf0TocDLc+56JbULtE2TSzMg29exQisXo3gqdMR436erLG8PLFBIHGS0ZHcUfq
JZDkL30bihsdhbsBQUgxW+m5VEXog0uZuFHE1W2E5AUTjjozId61q5hsNRJaWFaD3qovqnIxDuNl
vqTbhhX78hh3rJ2fY+V0mMc8EVIr8tCwR1ku3ebbMWVHtbKCDue7+EvmyxWfkLc3pxiTR72nth4x
uWet/JqhM3KhCCHEhCI6r2k7Eb5zeuIu8r5d95rAZLlgZZzjwKWsxAJqppdebrh8kGWcAhB2u3mk
TE90sy0MU8brlE7v/CkuxcDIZhq5weBm85oUh7S79906RGUZ7VU9EyESPBkFPmJ2iQGlZC8IVrT+
Ni27LDrouttVp2BTLk6ZekEbmyS355lF4U1bNlFmGe0BC+2CwZt/afv6s0H7KYZ8h0r2gGLzcEYz
FxMjpsVyAIQZQoTBvFY88lBYjdOCihVOB1m8vt4X2mps3Cp7TR3BRK+tSrw9eT3QI9okCAoanL9F
b3ig/GhRmxRbU+l7nO5w1DKW5Dw46vsRbVWfuJVZma3Wrf5ktJmQhDk60+iNoGGDtpATbYd7ucH5
PRRLAYLa/KZcdYW9prLFzND58L4cpSP5ENDg2AYfZQZhzYoZo7avAUGEcNTQdEs5uQxv3XOuuKZ7
iWl0MG1Kq2PebTFfk4tyV/KSG+aFMgZ9M2+j+/ye3I01QW9utDA9zSrOaNujdoqpUtgMaKT9/84t
CZU1VdVwkgVBIvQddXpN/Phtmsbf5pMe4iH+n/+jeQqfz1bYNbcYJ1u0r9mkrymZT+HWT8Kpeeb3
7Nn+C/X8/VX+ST0JTv9UDYnIIkpX5EfqiRMf/jd7Z5LcOrat5+G4hQjURRc1wZqiKEodBEVJIAoC
BAgWwCA8CLc8AM/gTszfPulw5sl3/V7cxms47FAeHR2RRLGx99pr/cVKR1ZlRxSlGvXlnyoMS9Zk
6jjb5uOG+ZsKw1QoRh1NN3gPP/4rpSdaE4G5/q36pCbWNUPVZMe0ZPH6X1Sl5/zZXu3hkU96xSe8
Noea9bOuwMpZaYOrRk7mn3fphXx6PJqGOx4vM2MpvbB8nSxgklcnnx+Y4kK8YXXxuCczVjt3P4L6
34C2rWU3Q8gB+LbLTNc+B6MVn1tPYv2xtq97u0yI0Yg8btXLcD9cbpHCGyzoRTZMpBpRznqTCbWI
r9jGJV18jvpRVbdPNuuq3Sr7hhoT4ZCvXYPHT3EKEIvcxT/Qb0ZzC0hvWh5I21ND6Enk+oRo4esK
wkf2/jyLdzsUDDevkBLe5Sx5szyXHz6/avpZijbgrCb3dl5yu1nUV6HCTsg9miePk5L4P+NnXB4G
allNB1xE1EhsLGbKNbj7ze7xY575gc9Vz+njh9dy4lsd9YitqDvkIrT7il0naMnm0Bi06junSZtF
3nIbjbQqsojBUMuEwb4FerNKlXV38zJpZT2mzkUN2mLCe3nVsqP6FqljzLXcu4mIyvI5QN9iR2hJ
0K6OSihpC8Qlt0uwNmrBMSB1KZrZ7Qnwdd/x4rWN+I54m1Ly50I+UNSbLi/dEW5c8RALcph7+iM/
ISMpg9ADqsUS2UrToVcbe5/du5h0w6KTvuCQ0uB2Rz/QTRUYm2cK2TXc2llvIaZ7xIPjq48xuNhg
cRct1lvTrZ0fyJQ2eHh3NCN2Ghm9N0rA47MLgg0y5g2EyZ0kbZ+vu8/7Z966kCLTxyKHoL+7aIHY
C47KHqDCeSl3+aLa7kW9LR8ESPzZU07fqeeh28/Ut8D00jLb9LPLBNFD6zkOyqJswSNN16fVAONA
ikiaprrMlWfY+YY/6JHm3n3HXW6faOy8zzF3zR89cMIlFUiZnJO77T6+1W9Td/kFahUDKOT15Cl+
vbJCZyrPFdLwIwX+CXgC+YJGduF3K4cdcWYKvTaQ6K5btZtqxYB9qGZo1i+K326Kwv10UpjAcJyl
yTgTmqE0GsNnqBqM+Rj6aZTFgn94nsCYx2mW5Hxd55flmUKthyRZtuvJhQRECx9z/ft894ubey9C
+dWZOtCwaSR7t+De+vsPBCDocykDzxGFAYdKJ0hj+cf08sLhH1rYLZt1uW5eixfusXcpwgzJk7Up
UPkjyhFkWEfFv3pMe79aPqfWpov7eHJu3dv8EXE37yZCaQTkcf8lqvnBO6M8+fhE8hicQtt3j5Rw
Xh1bYheen16ydfWixQ51yFubOGGT3F75BTA81e4FeEd6UzMU7pXqWW/GG+r2KwXv221eh5Q/7uAJ
9OXuc/jU76bd232aBSVDNfqKfw74wIsxPcf9pJ844e3ViJ3wEuaJ8lkvpU/zW9miKjodbxskKkE3
KbZIyhF2vV83oRNeo3auQByWsebzfIPHr688zvl3GVyWw+vZ8khGqNcDhAKBSiFeBrdvbXoOTOaF
uPv94O0ddysFmbtFdHTJhbgIIt9VPZQxvEFAKK27Lfw8gB7yBXIF+SDmXf0uB1qYQ3coM4QiSKJM
bpj0lwlESjYjtWcBCNrCmHYv8ut9SU1/UA8WklqokgMalZkEMrdQAStssJo7z4L5nbsbCn3O1U36
u3ufMDqrW+ddFyhmQpRh7ufTJe6te6Rkc8W1puOkqIETKbzvKzRS+dQKn4wnl/acPCIT2czpq120
m2bTcrZ+Usbi8g0u+jlDiHNZKTOTtC3gdrjYclpO0+R6eKDp6SdIBSYZj+fOu5n5JmxeHN63dxQu
9YqrtxP0/6UayeSMLAoTLsg5ouzvCAkE2tPZKw9i02pj6uIcyaHqMb6MlMNiJmND3SN2MqgWxf0U
44e9oYVj6Y7FVlo2uwYxssAsUdWfb5/aKbifw1v7jY7vvX7XD/LBrtw6I+iV7uXqP8FIbcIkAsaJ
YcdzAlexahZMFXd0t86miVpvqR6MsJvY8DwVJR12ACUsNzX729krVLQUuAT46JnHco63GcqFykIK
5Lyqy1ShwGwoxo96BpjrIXFWIue1hDHaaPMxQgWZ5BNpPlItzcuZvqSs1pf6spypy1uYTZTINkpX
93XfCXLADt2t3DcTTODmjx4+DL6Ie0E91X0KT5/74bfij02NDInkidctT/eHlRGIn5COzVtK+qFA
4+PJy/G0tV7HxF4KjHGMJWQmlWcWhXeyClEbPqRw5GlculBeXq/BmAaQ91bdeE9pdpU+bsd8Bvxa
BfcpiNS98MZnYM6yOSDJONWmlzTsVK/9MN6q8LS0JzZQrhV0lyBXwpMS9OCpB06/yJSZqgWn3ZUb
tLwRyp8bQ3qBHoUrVupVGl8CIxgX7CjiK4H9CnQfioyMe4wMJOSMC9HFrRaCj2J3cvVMR5R2XH3D
CrpHtm2oM/A8DnyJn574MkX9/bwdWjb3lnc7+Rv3Z1heUQoVxM1+dbIO/jGqdzXWHOwV5VuRCmSh
t71ZM3v42ftAkT+iBnq/bputmkVVOXl2RwXvQn2aG+1OziI0OKcNADMTFgQEym8IgZ3c/P3Zh7J/
GPx6gaABEbqMimjwn4Hg08CTdne05NdJb7rXyTNQKcBvv17gkvanjRDA3Pwbj1M8ZJiCH84zIGMZ
Lf+seWNCfWVERnTetrN0iWEmeOcBBfryyofE4Z4BNfDMePjVolhI63SpdG6JXyH/AgWjGDt2OwAr
ypzFol7gj8jQWu373XkibkbAa/fD/fCsAzWnEMxXuTPpDqiZmu0FUUM0kGcushVM5KxGzHGKT3G+
6nfMMspFjk1lZmzQfVDjtbeoMEIqw5YRdaJ2ZqfJDWiQfXwAn9LW+rKZdTvQLMALfvsGHGUuz5N2
Yi8BSiojPKlJZ2N3mXEcajI+X+/s5TNhbbFV6yEzKbgnfSK/PI7tPpvJLwaz6QQA99LszZNbG+7w
5QDXLswvKtZoXKhbqwrGdT6x5sb6PMO6ED6T0wH8pjhUu9vemo9JvpXW3c4BHnnw2KSo3ALUHSiF
LyBewrHQngLAl+cPA3ue2Ef7WPKJdnaeaDzsftcByDSzy07eS3OgmJuLf2jLeMDQQCz3AbREwKNK
gCuGfbEgneA0zKPAWN/2HWlR4ypRPktja56+OIMnH88Tw+CJ6Ue1mDFQjOb6tADZ4tsE3MlY28ty
YkRgTDl/5RNnDlRmLsXpx8RcVjvxWeXh60eGUxmCR9i06wdLrQsyprXbzPgUm16gnbyWeZ+IVUTy
RMlruo+wY7UeU39jT9iEWGlvReWediiKJqxDICrW4RsBz1sdvzP3+1sEI4RZxY/FkhZHqF3nIH07
pGJ+HRNI4HcCeWl83MIHgaj1eVLX4xXw7CNn8oMTzHBzBbJ/u6PLE4JGChliOzDtiPbuIKbSyXRB
UTNw6giOeNkF4vURdntgUuA78eQ98m+uWywtI2LxeuL3hFjbfXcSXB6zC58w3dm78qP8qHvTXR21
Dcj/r0+/P4PLwkrEor0HJTYl9w3FHgsYKZQPm80dr7jExYJlpL7fAUr4YO5JXj6PVsQrEZ3F0U3x
uTeUt8gUgdq6gBHgClgsXo1kqnbzSTl7U7H7zC3v9KNEHWfDiPNiRHzO8bhwI3qEhGLqQ+5G3GHq
OhEWGUuEBvUWpcsyi06LVPHBhoGVlXPAXLtSAjpu3vnmSzm5CuiingK4SMoa3EY6B8B6GI5Ae4GG
VdcuPk4Liwt8+P0OKPuRRQ8uFEUd40eAUoklxKYFn2I+ohcTk/0Rio2s/ql25UTx3tFAIex6+BYz
/OYPVoylxxELRFw3mgvN40q3rBtrXe2kuTXXPvKZxpstlg4eIe4LieaVQz2w5OD4OrB7vTD9eAb2
seLytGQIHYGvMuW7Hya7vD9LCecwoYFab0R/t9HRSvS7Z/AMBr/5MkPU1m+rFRQZk2OVhm9Y5ZBF
WImTtBM4hD3XY0R3HizKzHjAYXZHgYifMmnZsY7vxQJN3aMKGRNnXe+0yHypdlcCzr6RV4CARXes
sRKwYJsVwLKYCMWECJGSLJDBzUWAEvs3fKH3DMSEYtYt5NBQt+nyWrwWVNYcBhJArNS7p0RH0MSk
V6CL2NyYSd3u4i4Kobto3eyl9hLwrYCUill0cYvDO+JacP+K78AHPyQc5CI3l5MTd/lZwhiGoZCx
7Fl2Yo6CsXE5DHv0mKnhafP8FQRmdy8lHjjzYgdCJx8Fn/AIByKVw/x7hPdEwvjoET7JjGNKcAi0
oESFnQX2SzODpnGlCBlJOxFrJGdGHsoJmSQ74hgUsVjNQIj9ztYOZTMpoHq/Hen79vzSshK8Gb3c
OE4rdeoUK6sJH6OfQtqmxrwwFTcDbH5+VWpIueoaj3NYPLgr+IKHl2VEjwuKERQfN7fT/dNH2r0V
Q3TP2OndFsk7bqk4baOSFJlaeAFiP/r/KZDd/1W+KFRgCCIcA02EgQ/639WDrKpD/324sZtgAd80
w6H6N+gcwN9vx/sTnTMMzqNYYF+/4LTfhCHCs+Qoqo0kRbid/oLOGbpiKramW4owUPHSn8IQQ0ZO
gp8Je5WlILT4F4QhuiykbX8D5wxN1oVuEle8Yv8NnHOyR59VCji8ObidUF18WDdP/2nJ0M9+uTEa
xI7+ZQzPT3KzxLm8qwjcbV/aV1/2T3vfPEw3ix1KmxUWav42zK+KPC33nG5+05JHFZvausgWKCty
B6cRoDU2WzkWOH7YUneIr3ah2fEdkGGYtgsZumihqa7O8sKFvdNCOVCDPC7jcTIsFF93PErAz9sG
PGaq+PgH7Artu2+174WKH10Bw9nIqIrZyFFB+v0Efvtc+0Pu8RK+DVRho4dqT1J9xHpVCmND0J+2
V/fkxABJvOukri5AGnfPrgNkfRSOoCQ6ShQ14oNgLCrSSFcqZ5nj3Uyh52uklxPnGsPsvrmpUUEi
JFQd2AWGlWZu72qcYTKC3T4d21LCD1PfwlPqKRutTioLUYhrayv1RMiNjwgKrz9X3oULIluNXrbK
52UEqQkYNF6is4zxXo1zvPIh9RXDl/nd4LVm3MOWZeTVY9T6MsLTn47MAu3ZuDo1Kw38Zoc5tXv4
p4Mot6h+upC9sUIc0M6zLSkUaYg5ldIgcyKZwIY22z6y8QxYwblLdq1xcQ9OD7oDhNJaLtn0rAda
mti2YnNPVn+DNL5452vc7ayI+OuPlwGs0c23FUJ0RIq2V7IZL6GQyM7sLGAXfyprh5z0Eeo97BOa
+niUZtnEwLbv1lB13UxGU/DR48g1XEaNkklGUfh56dxxLdXJaQcWOsuyYIxIwPLZqt2TaQ2Z3yeP
4/0cSPOnoJrhJmU9GHTI36WRvukO2yJbfSCru/QF/4Ds6sprSYsC1NroEtjxmvYN+/L56p3Lxr+z
YTdG7muQ4eBtNhlGdbr4Le6xAO0q79Xez1v8x0jX6yZMB5zcsp57+rC54HeQ0k2DXU2bSFs+gusu
sraAfoCM9uP19Nq9ph5oqbmAzjN6n2u4FAs80Sqae+SHCn4DDg0JaS+6IuqpDwj6WmyeXTTZvwT8
WOP8HJavWXbR/fW8PCXlyxDnyMnzMPfv3+rUgwb066DB8qEFeBA3Ij9oEaPi05nhmPlpUCqsnCqp
glKf5TiY9KW9OemLLou5pgIJrmIFN5zwQABYMr708fM/ZZv5v0l1SGjHforzFArm31UdLm89xA/7
yz/ZWX4/xl92FhsTrW3RxkTTf7UF+YvkUEVpaNqaIhtoDn/jfQyVFyzZ+t8NSH7bWdBAsx+hnv8X
dxYkjr/tLH+IqmHF6HViCxZJ/5vo8CRfu1SVsxzSxbeHOQRz0LhnTGdw5/gvZ+1GoIHkQT/F1+1w
BokgDB/LRT+ThhCYnQ4acJ+nFEmfaK5RrMzkOaOgPFAjr+4gqGowAvmNCMDAywIBqlEyu4Wx0fuU
zzmRFNqeFF58YWo/TYZE5qsGDJM9LaQJA8pqEHNXfOHu9E9hE5mkaQ0nD3PdTSdSgDZoxAeqTbcC
xsPu6WthFqcRMOlB/cmmNPYAzLe3aQjy3EbZqz7RFjo1oNo9AmhbvEjlojYCaDGvr+PreiznDZ0l
iBE9jTxO5/3NgS8K8ae00Zl44hBXauKLbngXos2DqFMTfeor1svo0r41xKXO3uI3GjRXViAmOmzM
/TR9yV6loJFik6SSQgVlgNEkSHm0JjG0yfc9X/aND7qRuu6NNS8aOJwU2JaVKUmhcN5kZ3CVPrDp
CoCp5sKPJwPdX3SmVJVDApDVVx5NHpByUKbeZvfzS5O677PLgkrSPahXIcaZyQCc0kodNr3o1MAf
1bphA9wyFvQjCGquaHAwuwliOukfByAVeh8MZ3d8r9gVP+9AQSYFkv8O6HTGTbg6qZGVsgu3C+uj
uM2QB5iXOSonQpKhvGtl8CxiVNfp2VvcZmmTXG8bc5jbiHcav+De6usEswrC/EthhZ8tQsdywdSi
YUqjz++3xem16pfmAp4KyzOhbWj8voj4oYgIfDeSboXqw4ovbHqda9P9Y5tpE4wTk5oNGKyTbbGs
vQK94Q7ZuTW4wBbYma/TjCB8funm0uQ2lRf1vjvqc3s+JNkB7eF9/0i60FplL/ny+jY+hA/a0lxk
PtbEjITgT1uOK2vrrJB7l+7Zr9bnk6tjPytd9c15hwxrP2P2qz/YNYdye9xr72V4Du/R/+thmQ5H
mmkQkeHURdz6d5L///KP/1rhLM7HQ/cFUf+rC9S3FH3XLJl//Pf7v22V8Pdj/xmubVJ2XTFk0fZJ
JRr+Ga0dRZMt2bRskc//ztIbYuOAM5dVUzMtsvM/o7VOEMesIqO3tqDx/5U6QNGd351TlC+ao9IS
SzVNm2JEN4VH5i8svVlmVWWWBSxvsxgSJKtCORPALmteB8giPVw56p4LmnMEPZ1FntfghP6wnRAV
HDzdZZQ9vccDQVzegGjnAb4p6+KHzgX/c6hdEfe5j+rlPHr1KVBuXtl6Iu3GOJ0Fw91/dmvrOb37
54OMZQMZjyo47wt2PzLGwyMwxzi7LDLgeUyHh4cSwdQaZKvHUl2zVxS3CIUUh+mTMVQTHVVS9AD1
PgUP29NBpY0Q2rUDRaHgByXd0laBFgJNG3KQ/iT04bxLJ1flsoboKbvX12c/Vb8tFdwtAwlSBmp0
gMNIelVfUMtM9Pf+bbx6wqdz+rrP7jM2JtiV00qDCqONlK9GqIN7H752uHj25ZIoF+8aIL1rA+PF
4hUhfhfumxErF2ZHSKWF4FYzKK3+S7n6GWSXhVvHYN8g22R7Oi2He9BPyzkm0/oNegC2c2pPKFmh
Iaf18rzuilDIb8lZQTpdGB5lazPwT4g8KqipM7VK/GXWtO/Z+0Yf95CLzwiGrCrgxjh5XBN+2qAP
VXTN9SSNbPpf2POn4ueWn+/MbtMrvmy4N/jHy4QvxBfZ4oKIHp+4jBUeipxLuOAjuoQQdKZX+VKb
oDbb4eLP0KMnCA2rr35r/yiqSzsqFTz4GsoqW7OJI+keVmidkcilSnKZlYuHyBoWo5B5VLN6Jq/1
9VmJ6OTRz0RlKHv7DnJakIm0K4Cr5DbZDejydY6lN1ICCFgIWx/IyTUC2iIJqreMAHrjJzs77DlG
vRp2VnCaNabgZ2zSrgmck+MhA/X2Of0DbF+TPWczkmHkvPMiTsyphfKaKg22FwvQxKaJBDOP5EL3
NN/iPcQVt8Dx6WDtt2asjhSbPn8KcNRnfPbqtxwhJKLlwf9u0VGjMV05mwuJeqQClitB+p6tm+h5
SZ7xfWquzHfUu9bZ7bA8T6rPkWwKGjsPtk/3iKiCNQuubn0IkHrpuBZXr164yIHZqLlN0ARkBZC9
KtTjOFN/FJaKnCBOuLofZiLGrNiXiUSbBkNmuB6rBo0omu3K8i/pyvKyCAlbLE9UPIhGcIlPLBPU
2G8aSRzpU49R2nU8+eK2NVCv2qxT2T990rqAf9MWS2GSgcEV2gckIoruQqdnVtLTcUzb9KgWGGVL
mGRvt1hZXKbD+8PwEBfCzokOXNQ51B0Ivv2RB/JN3a25FH127537SMVJFZSQhbq/KlHD5xO8+8DY
1Q6o8hGOoM46JAGAuoL+/iD6Q4wCQb2BmX+vOmpE8zj44pcX6UUJcNEvXynf+X09xmOkLToWXZY0
UYNFYrW5BFqEOPZK+c0tOR48/7pC/siLPQ8q520SqGgN88bdgBPQPYugKKi+I1ByYoDzIjkEi4Sc
KybFDgzw2LsSjRusTe7NZo8QsoLU0r2Fes3zoMWeu3gpQ1TfOXJJd9X/oWMniQT5Ho6pM+9A21Ma
SgFlQy3V7gFyaN17eiiBekMnLJAbK668zGZ1bH9lqKTpJ4afPs4SlBeBFFw+8dOI51hG3OurGMs8
uk+doIsv0xv9+upkjO5AvaYvMdZHyJ5ASYY9mmpQe8piHG6ohayA1ETTUCvfpjkZkD614woOrQV0
FkxWho8TXL1j/jyFbF/QwSDZ/vWFbJYea0SDpfx5Xhqo/nEZBHVAV6sNXEAzuSzk2WMrZV4F3NpM
momMzVqPL5Ea92spuW7VmXr1L3TtoPGA5mk/MpWuAL2BH9Q15A8gcjoswNeLBb0RNmpIf50ELmY9
Gvurn4YOw8BzwFEIB+5hHbgjf1c2DmF0/Xb1ncqnRp/cSBJX6svpx4TCFVr/0vvmQN59QyKPr/G8
HQhZs2pgfqHfYvuga5iB4JuObBPZNxKdDoZ0IQMiEUSowhUAwgRVcp9bppfY09R2q7i8nZIns4hW
EZCGoh3C+bLsr2FBg5McGsRXhOYegS7y1YLWYdXhIiwtBZ13Sicc1Mr9XO7v/k5zH3zFJzcBaqmX
eT1VK+wxV2Nqmzg/3AaQ5jgkqNMQ1ZnNQm0Gd9yjLrWWFu1CvIzOgmrCdxXu7WASfhlHLK1sZrCu
6UquVw+vP5pzZVkypSG6UMCF18zlv/49f2stkDx3iKT4HmZhSuseArEUy+prwd5jeqqZXJF8abF8
W53KAOC8ip7FUZoY93mFzRXgHRDEedeou7BxXILG/NDlzwc+HIv8vIlHvSUt3zTnffHATzzn+3Bl
U0YObkethQU044bINB7ZvCeJfxBhfu5WjNbtVkyM06btNyfoWSXS4MvZTZrADooI+1H9Xc8zi3Bw
/zFvKxtE6iULq+/H2yOuPbB5YDhkbR4w/ONNXDcI/Se/AcZ/o10BKL9W7K4N7LG+FH1vRE1Fr0Do
PMKADrUJBtXMpLmCcr+cOGt44dkInWhFogC6wKEJ3a7mvdfuG9w70xJy7Dii7hexC4olcSCXmCsL
Z/3wzxCLggYUZGafXOIO6/A4pYtIIiLmE8sLOx/TcLURfKboxIN7wD0KaUa6lQ6/RBqzNJThEd/o
hMn7M6a2viJSxOXcRqQhlAuosAlFtF3xiHi4fQRZilv+FwEnw401q1P8mkIWVu5KEJVtBbUiNAH0
muQ7mslA/Azd4x0OrSCGew9DSqyJVkHhjcjnC+oYCmvf7QZpr2xHpEsOjU48koMkXZPPtTtk30Eb
pwF9L6ddRO0aUqyJLe4HnQf2t7vfBqLoR09DtnUhB7vGdoDByL0G+MFM02cN3DzL/3k93DjlO60g
fwicsHpcLIuVjWAhfMRQUGShpgtbKrTTGIt5FQXYZvD1kF5IATpEkjpraSL8Kt2vlzws/Q7eSlCC
gjBSYOnw3njKD1Zlwj++QpqLmHg4AIgTZDO/OiI9VtcQIKCZtbMb0pC7EEW1ZCAijcOGwThLntCC
bPCv+Z8CL1c9kbDR0AS4wKcng0+qxaNTJ87H29vF6xjU1D28/jzo25F6kk+fGA83Qdh5Kijgy+C+
8nE2uH5R0QbGSZhlOt1gngfI+ic1/m2m7zWhraH2P/26W5hi6OYrtOiduaeG2df7+x9EdBfcaMjB
3cDkOvOeje+bzaHfCRUApKB3/UV9IulJtCRdCgW6BSGp/JrRQuzzLiYveQQTC/66C46ClRf8PNp4
tvTK5QSiyQnDx/CIkCmIZzGapwMZNtd0Z5Q5Cl0HQvMollcXmG6aK4vHgD3igtRK90v0cMSMh/FH
dfxby8C/ds1Vfy+cBM4lwDfF0hXF4W/B1fy1cEpT+Xwxn2zjZzIu+EH3c3Qxy/u/hDtQm68vLz8/
u9v/d2irApU0dJtxlCmP/89FufeP/9H/IaFffOfZtxDQLxrgU8nHjI60Xoq6f/y3478tzbE+/3aG
P0tzw9EBKB2FttA67Qz/WpubFhgmDJyFxv9X2f6ngp6HDblnyrKtyfLfzNsG5TyFO3cC/Kv/S7X5
7xPsV2XONekG7Uyo86nTf59ginPNbtZ4ySePKkDSaB1bKOSNGTpaop7D/J7odfKX4fwnfm5c6Bzz
T1rwf4G3+NLphqGpJif//ZxtXlvKSUlPk73QtwOezaSX5/6J0sdaFB46boXyVKHuf5U8y3KV5wtp
A9RH1czMc/Cre8YAtPfT7pR9ebAc4cmWUB8OoU7SgomUSP6TL27YZM81vh1QVPAveuEgeScVKYDQ
UKSlrpnc+6B8HizzeNJ25ydgrjk1aLcIfQNZPwTCe0XCT6ZzmfGD5SJuxyNLrUqbBWyebBdjnFa+
9svX9UAu91MM4QCWVmB9e+avRr28IhikppQMWuihxy7N6a352lvFFbW+IN3mehde2nk7fKCSBwyx
hdowuMw6at96QqdIYwivgbEU1oXyh9Q3GafPaR8DxGbflynQyKYld33SoUxNUIk6y8sQjm/3dm3d
HbALj2TK+Mp3soepDBHkjHaVV/dAvyagRYTj+NWLD1T4qOdrtLuKQ/HabaV9e/YNlU7FLqzemGjR
O/tMomKmfh/lbVfGURah5uunExpT6e9k993jSwrMlfjTTxUGnP2cnJxImrEn1W8W9k8TsjFnzx/j
p7tJtQWIrU3Hn4CbAUTOWre2Z+etFiG66HHt4hxH8/gJ7Ix9C8ADcPqKvIGcI/X6NqJefT6PtyKS
KX79U8OW6l8RWwoc+Ekd3r31U4q6YbWSJ+Nap9vrHcdvAIZEjznHdY/DFxWh6etfFFoPzX2iPR2W
8H6v1/1sRDKGyRuVFI4u+gF05Jk4KLBtMRcj86j6IMj0Dbkc+l25ZbOrErInxDe0gEqXqIfgBIcj
Pd8ZZgbxBYBGiRqaV6FbRVEHg+o4q+72qj6p1mIKl3w2Vr5FIZzShdfv0JEqvmN5yvPjgaifLpOU
+zQUpzfkWn9B+XW8tWznz4Y9GMqygm1YD0fhCjuQ8al0dxPlKX5Go0yak49Sp2zeuSa0gG03Qc2K
QbP7QURXK1FL5rrnrYhxhCwOre9lBfKMHKqREtFjDFHtNci39wAva6n68Ai8nAaUBrD6k3d7b7I6
aC1tqvR7e5JLIruhbzCMX8Q7OOYQsmmlS0SjDp2SewURLuOqoKDaUqsKFR8FyED/5xkZ3M07b0G7
3WaL2CdHksVB0a/SquXdozypkCBRmlwBeHh3yxXQcQY7792NSF75j1/hFY6ciAusqNUaukdSQoGw
9ZaPRk8/MjLqUSUjj2SsgO7Z/qDf3f20rseJDiJ/jVOPjmUA7UW0BtiwsFlGtXGanl7pKg1ohE+d
/sQnDOSPpvfKq/pRFdHTCrTJzvh6EGp6TLCR1bwqMD5ZQTOGCPdJ9R9kB/+UBLM09gebvQWxye9x
1KqvD/vZ5fmkvrz3V7wJdKBF/DC80cf0PziVzrbyT4K2ZVrgwbas2vbfTqbepLt0fnAyzf5EzoGj
BC9qqkRDIB3hO3Cl0kL93vlX2mIXEO2Czy3VQ0+pT2Yc01aZvGVTz+krEyyeWHID5au3JsVMwsIN
qx+C3va0Olqd5Vi1vZ6Wk3LclTObfhM04qCv1SCMiwOzdVfYSA9q7+tpU3g4rzc5Fq7O51u+sI6j
MLvQHd6ZXO5zes7RzZmGENc4X5ycSLklcjkROT+HYqNp3nTAl8/yM2Mlccm0PXfNd3uS+n/UKNQh
dBqY0AVSzU23hUBp0UISzzrEAmmUy7HGfLIqz/5I13W6fFYhGww2rTQNKAfttbm+gTkQAuFYZrnt
PQnJE+vFoBcTYn2f6B+VRihzU678k0ouvSDT1Xlu0O4aGK4mTC2Lx66+WhP5GUUr4f04Y599T7Hw
XAILow1Ct9Unqjf3WtOAA0l6lbC34PyvrmYoWclZa91vrPaVMSdS08/wabJV4PspAyFHpddhKRog
EkXhtPgBvz7x1lqc6ef0ykpipSHWtuhwOutI+unYHF7LWVFOJC0N/zC4yvlGahKit7NoFn/0P8FS
CrNqtVvaChd2/GhO7sXc9FpcmoMHLmvhTKNrikUxCvjg3EL5HcCR/wMAD+8kHQBs0yJACBA0BPMR
cq8vthps3w3WT/zRhg1+4X7XV7EC6s8+ACqevvS0kGIhp2jj4/4tNShtHumG3sk4rF/TreH4F2r8
7Gv0O+VgNUFpfmNLbo8SLfONzenzRuESm1vtVahlnZ9q89xd5UW16QuYQ/7HCNdJdvess0+4uz8t
74b07kEhBnNJh3Rk4d6i3lDqSPMWGfZ1VrtNHlq025tINCEEWKFVMnJmoSDsTP81X9khhPU8tj3H
v7mIMDroWzqQ0Kn+qgTwb+3baY5hTU+nyh4RyYM9klrrVQOz8MzXhwjBwK8STU/oZ1LtnRMNErHz
p1WgHNGBtG9Dvyh/yUaMlbk4f0rb9XV6CkSXBuZk6ms08TBvYUrTxQKhNtJCxJs0xSKT2NRo2LGl
4DcEK1yYrO//Sd557jiObVn6VeYFCNCbPwOMaOS9QlLEH0HhaESKXiT19POdrL6dVVm3a7oGaKBN
ZVYiM4xCjvucs/da37LBxMUjCxF8Kt4D/I52l49wc/lojj6IBLN1XVGRVY+/caYF9S8aCeQPxMbS
3MmXeWa8KYnPFLSeM4CHLcV5tASV+PAfOu+8UaLthT9PxTZ5NDZKmIz+eu9piEHTr1tP22Ivrurs
n5lH/bFkqlZu6I9bjlC6cOkoWeUZx3NqTTOcRYL/4Mb5UZowfKq8guW3cdv7SKXPOmuSEax48PLJ
BqoQ9sBTetAA1ViPY5GCZHm9YVD8rib2Ip1XtEifS1hn5axSjmZ8ZB4vyS4dUhVQGuTr9k2jeSwd
HubKfswVln/MfjKtD+iQf/2AzX9Wtn//gMUT8rvJW9aUvVOm7O816GA4BLTHiQfdF5O8XCRQfMY6
grh4Ij+kUcL0H5eWsHdxzsS6uVAiPy9ZsqUz+mhcBrzPFjmdELiHzAl2Tx+UyDlD5j9DhdRdXuoP
WfuYFG83ZmE0wBs3bqdaLmYIa/Hf8m2Zj5bpNP5+5Iu/fpz/r9dVHDl+9zCjh6MoT4nXNW7tEZiK
VzYqTTy+4Jz66x+k/THG5rfDy++f0F8OTI+HYz2HnCdUqs/QfSvqREKPnglKhy12hJ2TP004Lbvx
F7qE5IU9jmdt7GxU0ptELADPDsn1CCgqH1Bo8t7/Y07v/5UEtVi8bcVA4ooH/q9n6v/nnuTtn2RO
v37/7w7nGgdwg9YKiQHCjf67wbkpw0aTAav9Q1v783BuarRjLBk1k2PbKm+2n4Nzsgc4RaPJ1UVo
wd/KTNJ1RvB/Klcms3NFxmRvyNYvbza+9mI/bxmnc5xA1O0DmwSAZ2BYtIX+XbUwLGbldXgAbh0z
aNOZuom5rbXj2FNNQjV4JIeQZVZC6ON3LCDH3pNiggL4+ku0bhOBZYWzCeSTSRdbIH+279gVGZHX
CHM7/lNqAyE2u2wla/v4iYoVeiGMNWnP/NjGj1uBRmJMuH1CuG/HDEnd936rAfmyXJio9hdUUbSr
SHSMlh3ywpg+mHgY03sybiG733D5vjgf2YgtX+s/T+aUh8HwMHXRz7waCFaksb5jG2dMLzRLL6P6
Gq6Yi34woDU4CSTYemeNLnbrD43Dn6dqQWus8nRj3ZZ3fgAM5yHDQXGZYGdXFsQQxfhA6E9HEyjN
7ANODW4Z1bvQ9qB7+Rx1V5TFDvD58yVelMPKnA6witi50H2rgyDoVh3nRxrKLmN++CAr+QhvdyWJ
Me4uXj5Fy8AjdmbFCBNY6fxySJuRwzh4FDW+8EKG0fIZsBdt/TpcZsprLo/tlzoVfWTO/P28LRxm
F8C5LTxbyLdqjWJ9Nydh+MXwbCxavM1cgurBeNZYki1UsG84McxZxrPbl7O7ienbNB6rU8AgnfZY
hHbEYFe1FpGlTdWo8+pW7tFLuM1wHxmJM8afE74omA7ZEXKm9Wwbe+VHrTHrmtzpijwZmOsfKSBe
L4JbE3BVfKj6TLoBmGenfpvIKHRtZBvKWD4zCbvEtBxgX9/HcXRtkczhN5b8mqlyOEv1VWm8pWkI
tlO+4QUy3DEaXokhA3aeBxJb5U3FkJQo464ZZ9XZeksfjMYvM3rF4XRQ3BfQRUE3T5c0nvnGt/So
suXew2xuAxNqzwDk1FXxR5XIkRF78OLXYO1BzdCoTrfN9o7FzUWGq+9u+Szl7Kmhj2J536SZs+zv
9NZX7KjS/Cph+Xi1Fhw/2WlpKL0YP/uWJ5S3ydJkDFkgNUOOZmyIqZGkKRsEO8RB7SVfTo1v8pWg
IR2F7cD7UAI/F83rT80fSH2okSqok7rZXIBr6cjMd92oeVE+pSmJTe8a1pRt/H2MUWTfAcjlgWwj
9qK/EX21p3YezZKeDhOdiNl9XA3jtDn3j6AewCuMtaBoXxsYt54NsoCB0aN2o+X98pUy9rFHzA+T
HSed7DK3MKS2WIboZwAT4HIXJ61KZZaoL7tZtIw/80MGFI9cHDUcWZ/lu5Jg2mXHdrsFPxbV/8lE
UI7kwFEsuCT6Xy9YXp6myL9+QFvWVYYTpP/T8mX8cms/ly8O5KwOOpvZPwX+sVVBb2uZ/1jYfq5e
tI+JLzNNw/oR+vf71Us3SbNhZ6zTC6ZZ/XdayzQg/rB6/YvqS5fxmhjgWVhm/7gpU4xHnfWKI/ae
W5qScaXvOT8Y6+7JmFQr5DmyI9t90hVFB3anMYl8l26ovT3rwzoE4DnL5RKYA+eOoJv1QSczbYWL
aNkbWa9nXNnQ3V64ENLeBamVIJPwBG73Kw6G+f0rpVbdR5K+omjcX8iLwfTUXkjZoKVpXMM74yMC
IyLtUIbL2g+smpMJo91D9XlvuUejW7h8cnSxPPCLN9qIwqMbZPU77WFzfEc1HLOs4gULBkCV6hYb
C3Ky20T5oFMRYdBPpw+AG9qdUWgzuPBOOiRgYT8aeBStf7ntZdQGd5q09uCCfQRCBQZFAwvaq0iR
+6DFVncToJo+EDxIOgH9nkZ57TN37oM7EqzaWSk6Rycfgg1sG75UFwqmbw3Z8b44h9/FObfZkQ75
Z1vflg6LSlVN+vRcGTjZJBAOJNMFdBH6ctzed7s0G+PPKKfJTrnNcMA9kPzgfOfAGq11ZZ6oh7w+
Sw8UPE+613OtHKf6NJZ6qltA6p+Oqgu+5WXZoN+LPKCRM62bo8QTVhs6hm51YI9RCb2HJBEbd+iu
UBlvjOviA70zY9ZQv/OIcuO15JFM8S/eX0OWoVu+HsyOuWk2TRsL0ibNaIN+UdUwpjPnuND7mVBL
lMnCbvDR7czHRB5WWl3t1fgl45lqeZPV4wZbiPqFry9HsYafFrc3tgabcXT+8sST0HG3IcyQ6JIT
HchfJ/kwq/X9DRwCS374lnjhbZzTQp6Jz55gevgw8CdId7AXio/ly9J0Ufglqp84QVKNudnnexji
KmIrIm4u2XPb4VvM7ZQ/TMu94mI0vXQnljGgchGHbDRh+6GMgoShACFAFkxqY1QgbL8zCMQQc1/L
zuj5JNauZnpJr1m5nJz7RnVQFNFzAJwSBar63Xek6SDUmnTvxYvV3DZAt9QPAbyTtgneW9ycFZpi
F8DBcBaGUVIcGfpjekSyRFYdUKLSLSyv5Ak06c6uL1APZqDEBzqg5/QoPzePfHUDoCb+5/P2sAqH
u1t902QW9ypizmringcFe/8CHXCb3thvZt4ehTr38+YqeBK5Hr9Zz9IiUBmBn0yTnI9X2tbGqQRq
/45gm2s6V/2MaLvbxN4iL/HFPL4dfX8TnvBqj2qaFahTImazp00G8maEMdzkQDaHkNb4SU2CRL8f
NDp4F3o4WYLOeRI38zJvlg1Xx6ThKrZpPQVxpox0WsGlhuZ8juZi4JnLCu+C1r4ZxtHWxq3GPjpp
m9+WwH9z0quLkd4ve31GvcSzwsyiv0oF/mO1ZKtfRjItr6ltoDEL/vPXzGfrePK2OF/QRr6h2o2/
6aXAPnp8JAwejuU3AqCapi3VEJM9FQwgwWipoQU6U1GZnIVgKv8HF1K5WSePIIoDiawfrAYTkrXa
eGxGgIFCocl8Tu5x0EMDQ+nJhGZsLrW1haK5AhaIXrUJsiMLZ3OO8LKJLJVonKrER779vsh2YHR+
1tiSyQAFAbklAUK+9SIdtWKcMICzEd6hh0D6gCtPlN3E8C7RriWfYm/d9q8IcZTG7WvNbyBjhNM8
n8Z33XQfeRc4xlmjvcEJfqSiUvpjpZUJ4liY+kp7BJTC7DZ/dnCEHsE9W8JQ22lcWIk1u6/yJXpn
UVkNL9wCiY5GP4rrC6UV2ExMXEDHhZ6HXhl/lnwIGM/+t7LJalLQwGwJg5sgs8niHXIJjUPR8EES
hjK1CSa7LDV5afNJ203f0m3R/ztqagVhQwn+u5VVRfpMVhrkUvb5+98V2CbFQ2jlR6pshLb9+Dp7
mTFjFxk0P4rpbnrYwV2ml1ePeZVGvFcH/FFIfupPCYyIvboxm0Z0KRO6/HxRSDn499ReE7WsUY1b
FXFscQ0fAhp+jT3TDkWZVZD7xkX5H9Mf+y/kBNTpDdmapqoOQZz0iP5tdYswmVdf1/R/rUT6958O
Gr/e0M+Dhol9G70JzSgRJE6X+afBBDYlpg5sf+zvfx4yOP8ajArpXBEvLiILftciswx6ebTPfnMX
/p1DhmqIQ8SvHX2sNtw9oZchff2Py6YgveYhg0l2hj6t6hFp0bheLWD+yN4wmTFTag3yaf0YAPqT
eSEhhOURuTczREx/FS2meonrQCRj5l/TCkrVFOXmWgaSUIy7d/u5JiUAKJ8Ipg63jCgLgy03+tPF
/S7De0btSkOKOpy+8VWpvNLkDRWxOWvIxCFQEi+DD+E7Ds8ahHaSULCiR74+4y7GEjFAbI+YjiXs
nyvEtsU6PYhbF/+m3JEdjiUrn/Mpel7DPj0Y5+5E3BWZhGpQMIYKVLITUxfqdit5ReRgnZC6bJLd
vzNJmaN4IdEg1w6wg21MKGJD/3n5vsyS1+yaF6uHvKGhiGSGrpiweSjv7QAM7l6Nb7TJ5ilZ1V9Z
NGE/Utv+nUX8UhxuJHLphJSrj6nWCPrJqJGZjiEaJ75FyGLQqhvleOgOaBMqVI7tKjRtN0fKqj9o
w9BwuCUgrCblGLsB9CtE6NJX75B2qTwQyNB6mTraVQ4uH5JTTKPysrUbfdcBTqEWDE7vVSWlSZKW
LTabomFSltFtoZsiyaDGbFYUI/TUZ7JxvnERZtBm74rpDQyW45C7WdB9vAoreRox24vhtTwNIllP
GVtfq5hp3xKea37SjeCcWDJnMXt3uR2mYTl+4pZr75MbXZuQVLEdOl7Li+j1NGQPCb0A2x+VT25S
aQKvkvHy6pNR+ONxkA75faqHr9l7ikm6GF9W1vR4k+Z5ziF3lEPz4WcSRjRwvOH0mcyZEmjkPr5H
XySYinE6IXUIX4S0BSjSWPu+Ey7O1Obvd2KW8UeV1/l382vyyh9yisGR8vvXLxEtn3/NMv5PE1Ks
0OcQ0b8Uib8qjsev6rO9/6kokk/8hxv4WRSJAvuhvPiX8cEfiiKVGEmfJqaMv9A3RAwxbRvaLMpv
pfRnZQTYASiDVg5uPmrn36mMWKv/SWXUaedwltDw94mF4fczsQzZn6oqDeZkZXupd0m5lbpmX3QV
VIWIjbnClau0qt8P++phbTPZBr9K05qj7FyKwfw86/GF92MbEyDyBJVjv9WAqRSYVLRQ0k1xe21g
e4LCbHpyG07DMn0eGTU82vK9JKxTi7RZE6e+/jQPt47qgZf3XnzdYuaH0aqsltFJ/gCWhT5vlVjn
doFK+XHhE6BpoMzRs183g9/LS1Q7T2fVHZznRgM+V03Sdowc74GlYIzW4nYlb4fKC6gMCwZt+oOQ
w/vhWIUYqI2Bd2w7HF5HAySZfOakSDoA3J9uCEKMgPiV8S4wCr7NaOxzBv6G8AXM4Zn5pLpX3yT+
8S3o4AQGDOAXwZtjMN2DhrGk+0AUr44WT/oQ94xcvEvoLrpzhwYtxzLWjA0GMy03ClXWhM86s7zm
tbqgLgr1cYXJ4WA2RF2BHoNt3i5z2uPskeEzMHFhoAEvgtY+Yo5lvsX5PS3mWga3dJRJo4JKsUlO
PNC5dCfs6UWGcjmJlwT1In1QDeoIVNoApoec+A773Vpn5VtHYH+ROCDKdjwbcitiSxdvmCUiU4QC
TmE/d1ByH+5HUwUXNuHf5hqrBL3mbbuIz9ZKIWcdpBSiDZ42+u9DIpNFsu+grhX1ZVGDOUa35dgE
esiI7ocFFVii69es1EVRufhnnCM7xTb26s0wXRUQ9xHva27x8KqHd49Oif/yWCKv5N9bQq60fnRH
cj5LRvKBb+boDuCVNWuscVxhIk3G6aydpqkX4SDqYQp/hsKeucgqfQfZCY2ebkHUqicoWCyirZtF
VfMtNqQvVyUdFnmYgohc+AgQs+hna0afh5e2pxWif4QHbQacJB9SlG++zhvlW8Dq9DO6FW6B+NlF
dUV4VtDPjLditzpVp2RhqJ0bJZOBTlN/b7yCowstTzd7bGLvTnQsAYobHndyG8ebrp6gsnEQ/mhW
fMwtHiUTdlLppFFHiKc8N9tj/K5x5BtVycggeDofmHe95lGGiUQF7AeLY36rxmz4MI1I0sSu7VVN
9JAnhTwrdB+fyYS2n22+SjEufUgbMnwwQ8Us002eUemberFtZPn5/7GW/PNV4veLxP/+L7TPZkos
y4plUlL5/VdLyb8w1wEaxtXXn1eUX27n54pimSa4BgtV9y/MDVtHIc4wwTRsVdYo9T932qR4sWio
Ilvw15gvDWQ7kAzFoq30N1nr2o+d9M+d9m9ScTb6Fpx12+KWf5GSWNyJ2Iwe8VRWh0BBapZrxvpW
I1m24rWuOZPe+FDCwTeleoPkrXO6jYLAT6eZaKuvsURBLpGvKebCwpR1VxDdRkk5t+V82r2k9N7M
qebQ3OjqgTzY9W2mTWp3PYKUOhTs/lY9e9Z0I7NXu7HRxazSLZlmjxxcsjG0Y6y4AcnMS+WEl9LN
vpAtn25fNgknJDOfbm/F/g4zugIgXdRj9J9fkI0D56SZY4dM2iUc6Q4UAla5bo6H5/HRsbIwd9xo
E6Qz9VjKpzVtAzDLOOUI37uN1gqSmreocWVj/0xeMSY/BBlyQbF1sY2ZZ5HtaE3wQ++l9+FLfOt9
jVj8FB/Zgk5pkAfZ2yWaiKbJ2Hp33vXcjX1lUi+TdZSjw5pQFGhFtx6dYo2p/lr5cLRPrTgwAHD2
8uVkV3Q53OxFR+YN3yPDSSWsVrdxP5fSZafLk+ecfbtyKeh1Ygo2X2/L21dSeLS5Y4NQqvds/OCj
+WgNLJmAJJ1NvORucHw7xpLFh9AioxnJpmtQJLEys2BUp5B+k5JuMZSiv+Ycsr8xdiHqnjMEplmX
ZYsQUAzl4UzqjlOkiX6C4lx01CU3Z2wyBMiQW+dKvIxYVjECsowoHtC9Wl2wCFlk1lyd7cBugOQN
ivOgLphoHZrimDNICVv1KlrnF/G0sDWn3a24obEiHDLjqfp6zpOg/OKuZjfvtk1R9zIdotn/Ui45
5Mj3alZb5iYllCvhEAfBs/LZ/sCxKoBHdskizNcLe83s/cnAZ/wk98a9mwWro3sjN2aY511D4Niy
+TZTdQ8otAJJQg9vA3tvgERw8WJjLRH7ps6LL9NqGLeUfsqgB5/VlF53ygmA05AUzophLNtbGEr4
wdfysOC7cSt4Eqlt6jy0sPguJXgx6vwpfXcT6RWEIePeyO02cTVVgWF+DMqI9YH3SXpojFXPcIFz
FVPy4uUSBx+mNS4mzycO8Cbod5GCDOnu5fvOrsZaYnvP3NVJn2vGCn5MYpPNFfOHqX4aoBJs+xLF
QCA/ypeiy+e5cbU6//Ku4vTsQH7Zz9csj44FL5nBe8N0w+zgFm5TSAc7VuCpDd3e7GH09g2yB231
988o/73WFaBJIPkc01AgJ1Hb/+3+zf7rLuAgafrnReXXG/m5qKBzRJFEB+c3j9HPzo0jPDgOY+p/
cAB/t6jgy+GgQkYkfZw/tm90DihAAjk+CDuT+ncOKYolZOO/LCrccc5m6MqZV1tCbvc74V7bJE89
6VPmWtneKBEKybpXRQa1xb1/JaqYwUgebldp083v4/oBvXJKDanAgivLoVgJKEae7TVAPyXxTepY
wwWoHREQqy9QMN5s9DkNybr1aq27LQDzfgp8f96sdSyAFhNEl8NMu9XImju2u2ajLapNtXmehvJF
c6DAZtK4L/fW5L6nmTHEXDaCGZQwNCsRYjm3aQoUOo/5cclGyu6rDu1FGheT+2VZdhNecxGSMHA2
qQe/eW5sOh46OTpEtRSgRSpbQkxLxtG7QXxamxL29/mIJV+n5VTkU+PdOCndyURS/ARNirmHWC4g
qY74nSylx9ZSNrYSVLASYlr1FUlCWIoNKIDyW96NjBPLn6mfbK9/R8mdbIhAmLfT0I1hG50bjiGa
xdCbGFFqLEbn2oJ+jTVDDe8VzpJ0c2ktT1WSiaW0jACjGrFYoGFw7YMakXivy/7WScbD7WCZ6eLZ
29unyXGAMHO9Wt8bZ3Kpq4lamvM+rbePqBnnAkvKqID0OakkCYS19WGvw0fxqmW1H4bhOlGijxqT
lMWt/E8vG9jnQP5whdJMNf+ybPyfqL03dYyO/Vo18Vf1zyvIr7f3s4KYKntIW1X/YVP8WUIsjIO4
GBW6ub/FA/0sIQbXNL0PVJKG/iMW+3d9Dlsnr+dfgUV/p4So9Ez+XEN+tEsUnggb5OkvjY7IesZd
ITTOVQ+EX+rcAZ11Jb202czUZlkTGOE8npjMhTaXb3Bgk6a8ofG2R9ZrXDAEf57bZN29O4ADErd6
TPVltNDfSl/dImD4kGtlYrFXlTvLHQi4zs2Ts27VGZaTInlRyiUL+y7RriFmfcdLOZ5P2h2Y9Msi
CdnnoHFc2f04NglRn6q39ws5h5AbWgT7kTs3bwKTUHySaje+fengIdXpk3iT3r9BQn6b2tnn7bur
joBR4ykAy+RIEEbwONxx/7FxYpYHtBSHI9epLZ3viLV7nFvQTqoFSvZLGZjLbBgNGFLw2LCZwweo
F3P6y7UdVLhwaK8i0nfR2uRzJJg1uEuCHKQTXy1PEvQAZz5qPtftkfb3fQp8yKeFrZ3ZyS0DnF2T
ePd+czwxk79s6XBIPl9XOePHcMJaaO4MeXM/3AWhjVyLx4KQFF9FbUirBFOI5DP9e0K9o/BydOZc
TrQFyTUyYUCriNZ1cbDJFTgXBw4bvQfr4cU45BNOwsTA7vTVxY2/eUXs4tvEsq9cERGFnzkJCI7n
0HBFjnfxHxfU+mLBuHxBYKpoV495GGcofShVyO2G81kuefYousIjam/rb/Qrnr5t8ITygh6Nc/EI
es3N0j1CJL4pI+ECq8sI4szmjO1I9zvLe/DLjtwBhw/3MzmYcJy/Cc3AnCnogzbJxK2btjPFfocZ
h2T3PuZ5NBlUPFfob8zsqpDvyXOiLWS6TthYYCNYwEVER2fcJb6MB1K5RmucLCabfG13f++xn0Pq
tI+xdmrar0HdGzuF4NKdE9EH6D70zVN/K7AsKLdzQYcLL2X/gDTbk0Rwx/D/0PRJ3eF4ADj92fNs
8LY6ReCVfoPFZGOBKHiChOLH4d36zLHWVzS6aiip5AN4Dg76rwe6QfIga3JCnl6LjakiBxZuQ+xu
Hgvr7ID1+eal7zENYv/77rJ9pxCc6WrmrsRGD4q7IgkFMQucLGTMcrZHjBh9KtI1X3XHVHcrVr07
HJzzg0Bn4dxCeEvvbwFBWAFvwaMzd7p11p9v6UG8ib+rYe98lNCizvosLdbMf0wkXOVRn2Um0X8B
Ic881iuCUOXMS8YLDySIuKsPe1sBbwFYyr0kp3HEdEU2RnbqPRQua7dzS7KB+xWj9oh4XZiLwTP0
jwAa9v3HWSq9R4ASK6m8dKpUE45oyL3k+5e17hysyHbquD+0bdmxrwgNmCKLCFdIvO4LpHHZqNd9
rTxhhMqVueQII5YwjfiDMscbq/QfXT/GY1sqc9kiSAV7l4oLKg8nNk7DwhYDildSSfnanlEE6F/G
CNq0v9NOFKBXzlRo1dKzXb6VeTsyHke8tczAYqIL0HbuSmsBAjLFldML95g0eJdPpOX1tcGFvYIC
+dH5WXhWAVZEGyxdPJMFj8D0uu7KaEpHobfgY0oAtoqrF2Y7fijoUniKLxg94SUyRu6uCdOY9MSg
bpCg+EzhKGrsohBN9wsZkEzicZewql20UfzVvOuiAyaU7CVzEVJ2dWlq8myVDKLeMdwUBF29dI8D
3/BlrAoyStwMROVG48ElPs9ezHEWUXYGQXEHIctBpQ7bzFPVEb07gZEnshGyYUfreNeIqFEYwmZF
ZK8QEDffpCPQsL6CAuI4iOpB/P6Wtukq4yPRisxZ1FhEVsBuX8le9smnTdca35iNbwXFwkBiMVNH
AonBkcn7joOX1bifIVLm1AnwGA5JBFqHKWRw95GGBWyxcBtVb8lsmNwCbF7XU3kWeQeCCmL86EqK
lEUgP27q46dzE7/i44ioRWpKUtOL3TGas6FdQ5ue0yr1tQaQyOJLmBlvLyG7aRRq3aTXpzfyp5sF
gvYnLLRxv3gCslQpasBQQPGZ4EyiMf5ld4mbGmtaMdVGL8QssFSoELFHlVD1GTvyllaDrwN9031k
xjDfkLdPgFx7otA75BjNiEta6XxC59PJx28UVcEfYQ4Kx0z2BXfVCKyAKCWXYCT8nxRSeCcijU9A
4OCdzUSwEPlvInbKU/lBOaizQ+S+47EehcfOV4DiPRcVI8n7FDdp5/OzYQiIX9lKfDse/oBsN5fP
uIUnWGUDNUB2Gfpyw/jiZ9ZeJcoKGh2jXzguUpDPNULcUFX7OvlGN/LiqVJKoH9TPqp4FF4JsqYU
vZMx1Y8KbfTO374KnN8ip+B5XBWjBekVG6Gp4S8wphgPkHygN3jiyeX4xEYoshi6j4jiyJtCAJzS
HTZm3HOXPfMUMhba6YPp8rQW0bNT8ETAU/AYtguuTjoTBWkYOBXGEthVETedQrMKecvecJ/zXAyI
JW+C3sRsAvdhWx2edUDb/qEd8OvxAjyEQxsszlQFk/OAhcjKNiqWjnfx67k1bWVS1UkSiPcMsOeW
JwX6VjxrZAaCSYScJIWTUp/K6bJ9p2WRvNSndJJMQtcPPzN7Iug09106KYHvuf1YVVYVdNPvDvZz
wPUvoGHHaPV0Sx6cPSlV96UhGBve2lqdDNM89jMHrpc0fhybcGvMuLe36SvtmCpIMbATjLAm5Qeg
UIPi5HMwJ/fvUoReyOc4BKrK/Kgnndsvy4NeLlWuIgPHLmP4aoo9n6eFe/haMhhnPEBeJC59cG67
28Yig8OZyQt58VhZx8cumSfzfsXdxxIX2EEyUeNRFbvZJx5137lNbs7Upnoz8RZFcJo3Z/2MW/au
jvODNAAzj30RZyPyRoZRsSo33adNuNFlxFh+xPV7p5/vIXX1ThCB9tW4cq+wjXa8pXJ3uhP8I/BS
kyggV9y3yOZh2zUmqsNjlDxrFopHp+3JKnFzo28gAtAFZCY8YCpXF7JFskW8EHFQjI5eC2bMgGeJ
HFlO5Y3jixiZGbtkRm55NdVS70fChd8R8WNPw8avgCmRd9G9StcnYTrWG9Ltwb11cxV1MBvKzwTh
joDUj/KzslKZ+gjAoLq5T/IPeHktuxVmKNhATO+OBkJZPIi7UcHhQrldFBMBNe5Bf4IALlgMAruc
5sTnLOEsrCpMQFhcRCaMr5MNVFwvHxbuD2TCcPEQr5mLlvbzqCaLyRnrQb+kpUhuygBiGK/3IvUL
F6O2McXgAuBK5F49ubmm8EmGnz9cbQzUABxCtIKjNLOdpUbcGOla+hjWngshAzW4V0wsPwT4xsQP
2xHMt5A/ib3xuDG/mzYrh/0iKVRMu6xwqQLeq71T+YN7xZWxdaJlt+DNdI7aHboDPL8Q7YPmyE9m
mIiG9tqT3bsuQVBfY3bqHKu7IFG3LEJ0y/e3+3og3I+9DXnZ7GqvCg8E7a5nTzDljuQJiwMRWZWb
eVmgsj7AMuFKfw35olBAvV6BIuAQ+ngtBIvphvUldILm6xYwsyQ80H7NEUyD6gBMTU2NJ9kqOdCy
Z6+DOIWPsT/3lFND45LsQSaLGbxJ+JXw+2Ca7BR+9YCcCB/o/fwj/wh5pwEtPMbg/8xFedbXRHsL
Lfc5O0fHCmuY9a7lGzh5Fv3JFeHuDtiAzFfpqZJbLNhhInyrEIWSwBRWRh2ElUCSMQGD6nVfiQKH
74eVlGoVBvnmeQTIzBfAQ/OEaFFIlyFFoThFBcw1NOYaumwi72u3OS0WiNmuK+hfnGVGi9NiIz7G
P+H8GQOsCEBKV5CGorsJdS3EJ3TzygCtDD+bhPCcjRzCIl5nwDQQDs4MRjng3ecVpzYxZuDsJh6C
aGdrlQBT4IkyG5LZdbJyVOJt6Otilf1BoRKJQOQERM8R7jwYhxAOZyJ4HLv04UbaTwXxZcuLHpGk
uCHjgifDeUnnX5LGVfGYPEYmRzYIaD27NHQioPkA7P8AZ4nUJz0g9alpAufpa/xDGvOoRTiZyHnj
yREFgc2ZpwyuvhdBUy0hNZDThOZ/4rAr982A+iYbNNP4OPW5OuZTzWeIP2f6ensdFhnnxWHPnyLH
zBijDyQ1Z4YxCCzhdKHMLh/tQg5Ye7giYJMLlGNOTpvBHJ6vXkhbXmWHi1U8TlIcWjgPgYbqXDzU
nrssXml59PLKpiV+E4DVm6/7SJRYrrHHicjGD4J2LNdYkrgzqeaWr67ldUxgIDjxKaRNHpEGkpOw
o3ENasyY3Q4EroEPs3h3gwogxBy7ezS6sgwIqp3zRqQI7wVelkBDbBVBd3jNXpuVwrPSwz2fFkeT
1hWgxNGrNst5jcy1iANSeQblz5L329OVtnghKRVPpskMauFVVu7rBzhc3hc4pig6FBlm5EOxbIY1
O0ymLQ4V1CWwlEeYrC8QXmvM2IS+BQ14Uus+kzhUwTg/OC+6gvpcSDF5d/EqRlfxZJP9O+UNx8hj
gYihJDFNZC5Ys5btKl8UTkUAIMA+FEm1n5VLDkucZkLIfB3mgR9/Ja5tDHZz1m+dFwoEIesF2s5s
WbCM2sSyj4aTNJU2MKxfGVpLyTEpX1pjLMGByXfDXNrsayDO58eZHkYFMLma0KDUupONtorxIMQ+
BlROjqaZtM19XmkBwenpgmBy8p6gNSUnlUtH76cXhzPRsMrA2DCCwv9wO4Y1m4rpZWnt9aGnvWBY
06I4NLqv1HRZmjIYEs/shO6sECfSC4BcjRfysdTUq3Tb1mgHyF4u7+PseqdEaoCRWl85g9pwym1C
SIkCeYM+xeBf+gVmv3Zezwe2gvdik1+7nr4JyfS0ByLDrzH+C1ugDOZB9+ydTNCzNEljwKGupcP8
IRTRWOq5BwiEk2Q4ZH6ouMbU3DmfBsP892hpr4jTsHf2aij8J4UADqGxVJQ5TwxCL/I1po3HSVIF
RrAonhvI2OfbkfTf/DNOqEUtujbEFnR9M+TStk/zCMeCyLamPXx31vyJtnqmNeMbpiHW3G5eX/wb
CSwZXonK48wq5cukGZtloL5125DNNzdpwNoQvw3PaXkpJvUM1SGUjZvlGfWMV1HXA0xFl2Uf6HC6
rHUfLO0t/KzkIH5Fm2ZhzrIV/RlqHAPEjb2E7nyO+pyfqWC+uvTrvp5l3/absVdxSaXdvoNtyGKG
HRFwNf2pEuF6O6tCbyB98YmggzwD//GqfGqfwFhymjIHZ6GuCl7nzqUGclVOLlxgYHJpuF8deW6D
1HQO+enej9u2Hmmb56tuzFSGyHda3HG8vuuebF0IVWNC+F4CxcXcvMW+mTwmdAOlhbKRd+ruglnG
lXdSIK+wdNKed8N3cT1xsGoJ7PY8DJPOQd31r/lEhD/AiAisReFVsBlDV/GjebVr6LxB1EDqAaVx
Fc27Q4TvfyMvVs9rfXBmyrE8cHvWrFhdzt1CRkPCQSin04JM5lJ5Q7W0LqvaeX+9ZSwdVFk2nFo6
G1RmIN8pYnp5paSzwiZQBvGpAibLmqMBcaaDenP5HlUiOBM6icSmK/KH+GqA8frueA9zt0AEkXXw
zUam2opjK7MGa56WG0WewDRBs8M9yA/NVQKd9PQFAdSg3N2v8MToBEGVioTjVpxOSAODyti7XJj8
LCCjztYhh+7/knde2a2jWXSeigdgrIUcHo1AgjlJJKUXLIkSAYIBGQT45Dl4FB6HZ+KR+Pt1q/uG
qm77PvRDu+uqJIoBDCL/cM7e304I8ImIoBQYUsG+NRiMbvNiRDYdY/5lfTN5UgKNwjYWW8+TPCiY
FSmVDTA5wdQi7Q7B1IKFUeKre4V05HEt7dCgTrtzGOF5MFHKsI9Et8r9WEMDVS9QqiusXgIxiR7C
vACRsgmjtUUU4/Sl7wfJY3GN8bQKWqS07I7sApI5CZMJN7OGGc9n4ayYCqRVwyLy9OSsMKMN8y02
hzdxjrBLAZPIt/y7+t2R3dVerkm5vNujG7lDhxuXKOBUMWFsWdxdtjWjbrM/9wMkVLe7r5Z7FScz
2iHPeWUIBkW5SLdNqHn6yhgZy2oHCiJ2KG2xwgeKCvNzZ54WWQ0D+bGvYESkw2pnLQG3zBCZdiDT
AjMQhJKMaiV7AS/Olf94ibyK2lKlCYrA5v/WYn073SBA/jcarQL36H7SbG2bv+q3/nzE790SxOjk
MCiqZmgGPdcfZaG0Q0B5ypbypfGhkfG9XUK7lTwGkyvI4tY/CuY5R8cURgv3CyH5W+0SWyBu/tRx
/f7QzV87rnGVt6pxggwuMd828cusu9Ol69+KzAqv0FlIfhpr6tJIhnfHK2677L7WbQxc04pE7HfY
wwOkKvYEcXppdi7i7pVDC6OB9Y9XkQX4utCwq+vkzRCNTeDApPTPx+uxSrx6rw4xVLL5HTU0GA+U
V6mzslRgkimODjBzxZWZclUXNyvorEBzKN4l4jzwyVb+9DhdveZ4K/2TuX/YLN2B9VNJF8J2qART
EMoLSXiMwUlnGu496owmrVRUCNXx5Dzm9wu1nOQ6lLHh3qm9wmlJjEqcxHrMvaCEQOOuUGzCY8XG
C2jeloWKGi1puzIxPhzxaAvWYpjm5SHnWJM7aGfXkTztLqGixLOJanILwU+5zq7oJnUWBKP0KBHQ
Q8UCRVEyOgd2Pig6usOIa/HKZdfPiFoF0F2a0mjnyYHJLawJuyJFYtOzKFBL2ts6YAXklGMpHYMJ
hJPvqQ/lnfGCUo2tHyR7rlqI1IMHOw6tWMb31Vks+cSqj5LvYyblRFjns1NP/tdO3+nvmLju6LWs
yCGQF9PzOTDxUr1bNKQrGtPOA0mU9GTQrnZoW+fZsqoCk1fGISyC3kZ+D1N5lmi3sKPpbVWXuZIu
73d5bHSmr7A1aSjumrTKe1rmHa1z0mWuGzO8FxuFtrpKR6QrnvtdO2/noszSLI1nFRjUyhBoHJK2
PY35ZWFP8rGoI/Hn9SjNNIQmM5XOq5fOU54J+lGKrfVYmLBHGu9xx5BrrtGKBQUKgXJ2U2a8Gmd2
7C2KpA6Uvg2QL8AvcFYn2adEKs9V904KOpi6RMW0PkkT66R6Mp3pR+uxFGKm1RYASIqwZdtnKLdn
mfXnWQYOxapA3f2nN6kNTSWABiSOrGsiK+wfa1t2n1V9zWhU/1kv+csxvg+1hg1lwXSgC6hfAscf
bUkkXMrK34UvPw21joG+8gt1gJYS6M4PnWlLVw2606othu7fErcAYvzzUPvD06dTzuU/iFuupVV1
Z9NORlIZ3pLn+kXJ3Xxa+7SZRrcpXSY+TCRbNiFzOu2kKpubysxKAo09nncnRSB3kytgxFF+J75G
p504YUTsLf+af6jZXCue2NeU1Pu63b4hUfMylqm1UEOiwbzSgQPgGz3SvTyxXaC8Y7ADItGJPjC1
2mdS/q5vDI4n0aVkfKG0ZntgX9gvjsuTi8CeGB17dX5LKKvGs+SJSzjzNO9omLKhpB1MwZy9CEKa
gLsdE2YRnl7TDUZ4bIJfv53peV9n+FuvnzYTB4J0pHpY5knj2bcHh3YABW/6kfeXtYX7cMzXGTo+
iHRtRM+RplA80+1tpBHOsYpOEzN35dPSyALsh639cjstbB7P4/06Ez0uoCpTNXev7Shd5BSOSRsk
95h1KxJ0OrwZoT7hFYysRaf5gR8IE9CkUwEIEq47UOowzSj5rHV53+ybYT9LgQlvWnoEsggOyakx
BrewZUtfOxP6hes8jJ6AH0kAl6pFwxRIgVDGQHEdK6Acpgqdadz17IPcop1Fo5zg+54iwe2tmLbn
HStdtQql+3MPxPKTII6zLWioRQMXSRBTKWv1A5FCIeFkr8I8m8CpQcdOtFrnE3qsEujuok2PDlTU
28bHeu2ElXyfqaVPmb+UAlVePi5g5bsCWC7aSrHEdvwHbWJ82va85ZXwH/Xicru6cbkq6UWjvCSy
eVLsgJl2Q/h8JU4Gy48hz3BDkhjIaewO2Jwq7F0R1ScfYCEknZpDVe+knFXvbM0gnVb2k+iljppt
Zk+lHLn/gpIsbQN7y1Edbb7CxxRCBX3mRVmaa3N93RkjaYDz3U2pD5iBbBFyZiyjQPxf3D/Olae9
EGAZVsghXWkw+U8fd3VH02wNmxF6GIGN/8fj7pcn9H/9zzf8c9Wfx95fj/N97EUeaGD6BHCj6ISO
/bjMxflpgFqHTiMUOVz0fZmLTB3NkqwiI2cxzAP7PvaamEUZy4WbU9XwmP5G9jDKpL8Ye2VWUJqF
Z1TBBvXz2JtK5knvYni1CdVIFDzlLDdqz4JlCSM31l+66NwgoBHVaCrdsRPErY0yWPIlokNUCrCy
RMw2ebN2NLzfXZ0kChoemXM00C1UuRYWDoAPyluoB/hY1TeqAtqr5lyoS1peSiHCqajmkBNIIfyy
c4BY1JMLhfyhigMDQ1BeIhUBvaKiPWoij/a00k3v0ZF9PT35FBYGnyMoJXSviwZnUnO8nugH6XPI
13ynh98CcjpnUw5K6x893hokrN0+caFMK1RmMBqyoKvITKmsEEGzw3KYbPGOktema58F+Fnu3JZz
8TSRuV6no3M8PBN3RkvpMZceo8JYw+RK5kk2Me1n/SDva5llF71MG00245H+YS+4hlMOuDYEaUqN
JhKNcgRx+SV+yo1B+sb1pGgnagN9hCj9I07e9IPgkBD7ZlCDJ26oSsY1wFcTSJlkJRgmwZa1UqiM
kqE1qnbps71OPxOgVIwFO26QgtyiABzgR/WqCeGVI2M/K94ZnIqdWUVhLMHBglLjJsrCwBVzkTFq
InFpRoY0t5ldQ2biBqvpowDZKOPTAffDHKyWPFRGTAsFRslieaPkr5Ec6LjKEpSmun9N7m53I/gT
RQJWq2WS30AWQdiiueYykRUM3gqxJ5RuYW8900ZH1zHKJufdKfN75sDXGf1nioslf9n/9CEMHyTJ
CeQHwI+CRfVPhrDp23/ZvP2VKPrXQ3wfvQxI1rhpdITXQhj94+iF6tnAo2nDb/wWpvh99NJBRbLk
NP92yffBC7+ODalR04TnhpjF3xi8vtbFP+zR/4CMCqyXRlzun8netm7FzQ3C06i8pk/O5iH1ZIlX
96fqWLK1NQz0dg7KoBQ7MnbvQ0XbgRoX+rbWvTxdnshnK9wZAXLn0RWFch0ggjo5ucePiIxTBVEi
mj5p0tNiQ6ohesnp0iA8AW0atOZkqTjQ/B63QK7fE/IB31QgQGXzlIPJc4DQc08a0rN0eT6Tx3dK
wk7Y/07rnoBwqCDjiFZLmlXDW6zMskTs6TDplOQAwsAaR7d5pTydCk8mweqaLdMY2HpZgA+3FmpN
6Nqq1pW5g4ktjkdoK5BoX+AoTXKMbhmed+F7s19yTHC3nekLSTIGdDd9t5ptL0861DmUirE1xvD5
rCcdU12EjwYnfob/e30+D2GLXM9L/CgZwby3diljzSvuhJ/xm1aHjTKw5mYfjWOsdP4nsV34JLyW
Fj4ixLinThoqfjTmtbsH9zlL9TOh8/n9Q4d3zp0UdM3lIV9kthX0sLR4eB2exhe8Sddx0zFIhHX/
mdZevslWlXdZPHbdzlmb2g6IIwHdDFQ6kUP6op7E6FWN3oOYcyM3lvyr2QUbvRXCitLZl9ob1BAP
KrK3R+fFosEDqFKloGWPzjOmkHrHrv00c7xLRJ/xrH6Szkb81iqJluaGlpIOX793l5n2kRgD3aGw
S7WWfpJEL7IO5EWrjjkFCbt3L28v/Ib4xLodqTYAoaZ7Sq4urYMRRZwNzbz+oEuDAkyNS7ukq0n0
9a1ZQ1oBtYcMbBrgFxGCi+Yc7DQaryDlMc5qAjfQDZHS9wlN6kHnR+K4ye2z4T3+0C6TTD8PC9Qm
dbpjGX+S547l12/xslF9lFhPxTnAYGsMLzTDcvZQxyZZg67Cm6qCM4zf7EX6htcXjb5p86RYJsuj
Kyi4uNzTCtbkFWFQ6kclvZYBKofLUO6J0EuNt5MKhkAZqhh8azr1LpEBU4phvkxi0pguiy+L1Nyg
9ohPDrRnqiWJMzFb4W81J9kiXeXauPer623W3pCeoY3TjdDpvN7QA1uZV90W3pWE4yfGLdMQIXg+
WBdahQpKTY+v+tV5pF6KmwukikMAgQ2bOzgPtDveXD7OFKSUyLW7zq9nxUKWvEeM5osWOoGcak8O
RZEOzOuT2kzO9mNr2tiO6KUWuAYeK+1uBb8/9fx/Rg0AJKLLlmMzEQDk+mdzzzqrvrLV//d//x9M
Q8vP+kT1ePlWl6c/14x/PeoP05FY9P7NwilWzN8l9qaqGEwDKulFosrx42KaRTZ+TACQTDkCv/J9
OjJUw2SBjfTeopJh/s50xKP4i7W0arNkVyhPY/wUl/9Qx4ijqHqYzuU0um7tdDdDDX0ZMVvU1d5e
FXnqIgijLnEZ1bgdF2UVZMdk2hPMbvrm69acJfSIQv0SnObYmPfRbaxtlMY9vWeibTy4NoMbhpbC
Lw+sVDtl+jgPwGgoi/u4zWcYlwGMx8pQH96mxuKSrKElyldUedKGT8XKBntImhxokG5SbKllYCFl
YL6NhMo7eoQ2e1pVGZrD4s1OR2Y6yhRMgHwg0GgPLzlBaYNrNAcfgHAQ0bbWePKRk7JnD+/nsGTR
nE6pi+TTbNvIs5ywYhIIe2LgRL9WOWiKTxmn3YvC8GOZRUucmBqlcGYFisQBS9iFTLAj8zHAcERk
pCNaHvJDltiAScILFY4eygzSVaawYTKL160fr2VrUJ4lV6+OECWZrkMlWVrakjWqhWz3NpbXzJm8
bsoo52pSfMgRfJ/8Rg1V86lblkg/r4Nsbh+ZndjxoKJu1KGJmnjbIrHsyV1Ei5fgSpykLRscmFoe
HoPaQc7kV7yusGLoB/KyOt5tOROKznZUza3BvXK7EQpM1wEOPb293F6cgYK0k/Ddyq2X19KztzWB
cVwkXSEla9OCUg0yto9UcyXWJiCeR9XM3upBCaB5fQ7hz19Jonw3hD70HD5GJlLOcmzA7cSSH00b
UpvLaZZ7TTQtYYTVpEAx49OSnSfUgrZgrIc9i4w57ivKv8j7bbIQhDIcYweicxrTSPT3JgmTF9fp
d+l1wN9CWzUoh0ig6PyK9RH6SZSYJKegN5pflKXUEx1BzLKQw5aTPg10ihYKGzgppnuvDyPnqCNU
EyTmNkT7N8RO66hsYwgvytYSf5pPsNQ4XyMfMHxIamsowj/vkossi6ksGwNv9kgEkCz8khOEc3E6
z/tHIGfPWVmQFTX+ulhfft079axCF7k6QWIjNKBgh2Raifgz+WfcutGT+lJ1QwZ1h76Cm7NiY2WE
3Js0C9/paHCjBECj3DbrE/pE540t0iGd94jogWiXh2wiTeGuzh+iX+LfKI9jX14rMIkKqJcRnRcv
l8OrEaCUBM9BI5iLsvyFNNgnSUUP7dRT3XlOL7sgoRmNI5dCFbU3o9iiidGekvUpX1TOMEfl7Dyz
uQLcxkzejDmGjGaPuhjtZmBh2TGrRnGDaq7ecqTrE98et6G5jw7XckZ8BokU2PzEod5I0pBQOjzm
nIeUzkFWCNdpbyORpf5lykvjsaimIB6kMTkh0UHjMaODItd7XG+5zWX+jbsgEwv5dZqjvlzQX1WD
+3mKhJMvk3aB7nE9ZxgdaCRcn5SjVE9pZrSogowAXgQtB+m8yy6v7LYdSM8QvyvKeNYNRavPU+Fy
sjK4YiRkVnk1oBDHq6rvuYwkI770jtTskO9odHlGXJV+BTfjoZKokY2iAwmtIiAyXd/mOjILxFrW
0Ra5SsOG9x5iYNRkxVP7loSR64xZ3j9UwR0RfBLkA4PcRcaEnNOmmNioLn9H/jyEpDTatEe3ok1P
S17A9LqxKShiuT7WQfJGieC+79m7l1vFRqwxtvLl+YnHVIFdH5zYIqyVowhhrLd3bP2DK1J6FBqr
4n7I9CEp7s4T7gNiymMXY6PxIrjVdLJZOt4+AV/I7+B6xbtIxAjnr6gY+Vd7IqiWABTk8BdIIety
ngyrDCTi4oNAFDUb8ynUs7GtY79G33kDkUFMp/T0+2uZ/wd38b9TeoKh4cGj6WwAQRIhUf+4FBi+
XfOq/nz7+IsWzM/H+L5yER4/h1WIJVoprEF+WLgYgI5MmZb7l/f4x4ULSxkRiGgZ5Cv8EqDAplcE
Lph/VA9/Z+VCme8vVi7fn72qsXr6ceWidHVupJf0RF/U6x8jSRqwUDkzYF7outLzGxMoiGTLUbcs
JPKpdmBfWhyNDa3ShtWJYoBlgegFnD/Gr7PVNlIN8zlgfVKmr3do0fEbrDEWOrd8ZlAhvE202NcQ
AlPwb3d39JrnVQnf5rTQMOmQ5jxsCTVid2fFRHZN2pvilbHhZ6SVTK+eDazdIFCMOt6VMlrtsEgw
lph2bua4RtF1TNvPRz0vz+RxA017Magrjh10amJk1KZtikFBG/Vs3lOSlCZkSZtTY02ZK28G+Tt9
5Af2n1l3nTunzambK/WH8dzAzJiYa+nDXle3kR1Yo2IHFfq5mKh4iIgvS57NelmFRyfG9lVNamqR
FPI7iw722f+XfPb+jYgx5HPaNCeJS9M1mQ/HP/7oTU7l+fJ2+/Mn79dDfP/kkZ5Ja1XnO7xg+acS
FhAxPkO46m3btIQh9ocSFp8t2GMUskwba/+PmwacxBDNVEejzMWn+bc+eor1F589FTwatTSNz79p
/rJrqJKiidU8SUfO6bWJGp8f5/PGQISehobC54866K0TX47TBReVySlGyu2gYO8GbBBQClIvaWYE
MZUsxPbSgAIrX2gC9VnZDdrn7pNSzuA8MHeely2ugwRRhlueXWGO6vgE00T1UJvQZGwH9d6e2bN6
z+9376bBp0KrIsPj8MvNxUfxMrkNrN1TneCpuD/TKBxbO7BVtPwnaAHCbo8qxRACkfgNujkKldUN
Sns0I8Ftby2MxY28TqLdaHqZq+6z+wyRDC+6z011g0+NBB9rVxESQTl4I0hj/iFYGwYrejNQNvU+
HYUmmPTAw+g49WzPmgp3a4RS+YM0Ll8ZVN771TU2p/mrHPTjepRMDVde26+XEYgpXLz2sHm+jp3d
Oeg/F9ZuUbw67xqra+f9Or4NspXiOu98YdIiqRidaaC4pfWs9eB0aIcWg6MkCTw+FXm+o/UNqZH4
J1a8d7DNdeOhivGpPHYDxDXmStrwOqDCAcZCb7Hx9myKblMcjcTHOUJB00xYN4FY90J0xCv+D/sd
mLfhaQPHIWQFcJQwE3TibMk/9rW4V9BYItIjoTF4mxG7faaURIGEMzaAU2Y8tHhw2qxus7MNEkKi
AjhAt1Mde0LRXaHf4QcP4cImlVN8ESmLp0KcYlDHdskZhM+BnuZBs19DboS+RzxoFnGAT0o0rqIq
eQ2kDZxgsEBxgLKIL/a7e66kD4VCCIevJvIKOMET5WxeB/RF5ooHw9Y0vmzU26Tq6QS5iGnNm3/C
eUSgHkY+B8WoOqtf6Om48qt5FlfQ//b9dqAS9sevnCj4c//8a/TpfzuHoxWw48Y6XZjuj1tweHW2
zdheYuxR3Ohzy3W5dHtmMSq+boctd/Xta3s78KDkV5EhyEOJPrl6zYacZxc8NpzHKW6SXth8IhPe
8li2PPgs4JiA9Nh/eVwW77JAfoUKrZlkmgQ3XVBCL7zLC1ch9ZUT9MyGj/cKrQ1vYXSMpGZ6D7sW
FHzLJkumYOm+B5YPz1lQnW2U0YMHSEz4+C6pRTgV0SxjefKA7sdJyO8gpJPNA6jcffQARHSesNu4
GIvHpAsfJMDGkp+BiAYOPcrsIK0nAKXj+4xUOy9GG0YuENOny8VgioAHcRp+EVIwvjj9oLD5dfrv
31PbJR2AK3POE6eg+ieo5H0I1Wd/8Pfbfru+OBreRDBHXzcRV0cJNvh2a/F0KD5KXloECY9XHPbr
vkQZmufb/fEdlBG+GNbhCFOFGpXUDASu6p44xzebdqCr7v8QrVKP5PPITgB17PfTCAeo0gq3G4G0
7pRN3pSfL1yPEia4dQLMxcHybYtyVtyBNRSC3WihjZM5tyymDw++bOYBmL0NNSw6B+Z7eqOutQJT
iNMKNjQ/OIM/sDAogYdufH50PcpWmf2laxku33cYDzAlvdUBNxg3mHTshTFM3/DzHHcc06VtOOUI
4kY79YA6l8/Pot+XNuQXN/RD8d/k6zvfvv0arr6f/HbJH+d/+8X7+bw/fuVMjxFGzsIcIwVWj/tg
p0eMX8KIpQg/1n0gza5TisjbDgshnxUWhyd3Vx/R/G+wi02F3+OybXz5MP12GUalN8GVFLn04sJ+
z9P4uvDrlvJB3JLmy/Q82jFMCRcvQY+UlfjDgjwY881Ab8yPb1d8YAP6OgLnBOWRAPqtQE+JQye8
gnde4uRtx4Vfh+/34r7PI21Iyd4XRzc5HI+MD4OQIAfyQTwlohzFs5Nm90G0+XpK4tYBZ2Ev5aGb
iwDr20joub899r/f82V7H4gn2O/Fhdyoin15o82MQHm9uNf9oV9gK5xZnouxTt644lesxPPCv+6H
1Qsi6MnSeQ6oLvB+Sea81ZgEebP0iMijhXDJ4MJsyRXWD3ghjqQLu+LdytW9fhAteLtSntkXU20s
NNoWb+bHMXjJ31B4r7WxMRbGKGx2szagzSxCNnl38iQJEG/cnTQrsVeXxwpPIz2aAW2SMaa6xY6/
4cV17/ypAlKj3ClP2pUPICY5/pSHd2WiaF2cSlPIoE+P3p2+lIz2Pb6mm4GryN658qK4U8S5xC/G
nHw1PNt3N5HhaJofnFLZKmiuDMFM9jJqLwxvWH9SnJ8lAdAP/GnVIT2yzycosR1HJZTSczEGm5/3
rsmEzETRu/iBFdnVIjFinjvXoqKgCySaAHzS4ENBhLiH6wuGiKsvDLBbN7/7tN+//V93rpZ5l3HJ
NEdPjoG89QsGa5SMtVe+Pj7LV/v9b/9H7/Y7nltg7RJvudkd9jv/dBRNX1fsGXHCB5vuNct+YNru
fUxV8zJbRXMmY3rhrrmjP85BWHCtuAtxZHnVJK52ZhPkcmg8CmffLgLUwABsXa97voylGGtOzmLt
X7J5+H/rU/w7bTHoASCXIReRzf0/Ffq4n2+H7IbS+fPyF9uMXw7zwzbjp13GT60JoXRHSskWR9XV
X7YZ4I/1H4Hx33sTyNnBIluqrqiKDFvsN1rlaDr/YodPqYDaA2pPhXbNzzt8XpRbJ/fdiV0G5LkG
BF3hDZLrk2l6fBWYJG+g6hKQdRnprq4WSu82YAHjrQBspwC4s6HU8l5dPdQAXtaIPu8cRYzKCrcZ
GgDyZDh54PI6sHn5Rs9ldhb1PEV2LRlO0GjLAyHKJNKUgwpfcmS+KyAArSF4CC235meM397N5nNw
JSAPybYpmYOWlHGn9Z2UTq4HYPwcbW+RysPNBo8+FoSIaU/n15OJxW3REFGfeE2x+qBJp84J1JUW
KISSA+1xz9wkW3AVzYGGbhMHObXeaUcLxkY/ZL3G0mtNDvcF1ec98zRl3NIutoubp9KbgEBRnmi1
+LYoXJKihfBJx/NzNOh48tnGX/OAvxuY0iq+EoTV3kYIuyXgEeMyol2qpYQQC1XUc2LsnRzhHylX
AYPvpB4+iuz5FGFHqjbdsxpmm0cS6huiuhD5TJJTmDoiLD4oNka3UnBfOh47JGGfk83Bo12c04H8
eDxvT3U2fKCaTCPszGd9qkc6G4PVuULheC+VkQ7do6dOUTvHiDavjhbWpH9fSofEgPARJ7u2pP0i
q5a3de7yQrHYwTjr5CId/yWDz7/RsCIy50zCiBTkJ/9cfIOLs327/Lli+MsBvg8osMI0lIPIb0Tf
krLA95IhyXOABdETKvAAfxlQCKSjZEh4naZTUvypboGikIIiNHPoX/pv1S0oQ/7VgEI5BaguREJH
PL4fS4bXFiudfa5OI/2kDG2n9eK23VzlbqSfUSTHtFjuWekpESw94/2eOjH9tUdYXfxLL+rzUDYq
w5nda2QpTjls2FV0xulVDEQS/beoHfULbVZBa/k0JvHk81NCvecCsVFCM4gc35yjZwO+8oSvw4WR
c/eaK51TChHsvKWtkfv9JRvqD/hNS3VZxG4+uABGcSU2MEAyzF18wrqAx1ANtElOIUB8v3N/FDyc
9MU0NqbgzXY4g5vJzQhvzeRiAOkjCHLsvBdQQPMR6pT+WdOfH/3npWcvdgnusdeQLkTTStRM+HIo
tOACLFxIvA1bqUm6wDGObR18yaqrx/yU1KnERTZqwZathWQPUwTPiFlGefFkqk9y71rQWo4lNlou
yR6LsiELlBTLIM7nNU7oAhK3OZHlmXrZGAcVJ1B/IZwoASDGcmSgAxFYqBjcdxgBHyhnciLFUlzm
beSZ2fSBd/RK4l81rKR1qz7bcImSwfkZKFJZeTh4yzoa1TLuzhEsIXBJmRRW6dAhyxUCI3XVUPK6
8UmbRtDftLu5bh5ztmUFmHRMjDLVVJZhmjCYS7Ok8DJcSRKTBs/G7HYyLZxRTl03Bi4xZHXLLe+8
PfBl7o327TqSHosHyCGsOkdznz3R+EnXjGpOGweKM79t+2StgxbLY3ouLQvJe5ZNz/3uTnEX7yKq
HFa9JVeOcNKWfnoZPy4zOQ6leZvQEptUyQfe8VofE55LuxHUf+J3xqx65LB2Jwhabf5YLUhZMhX9
80yad37DvlyzV1AYcQIEbMebmA29OTM0yBDpSIZoZQzMu+ol+NmVoA2lgB/20rJczXilvOJCTKLG
fR1yV/g004FSIhI4K1wC93l2nckvAKpEf1QdsAFGd6+E5aKp3qsAZt8pGUZE2lFasVdaRRHQwmP1
AN0+aGZ9NgNshti+3SW0OJmUlUUhjx4jLAr09OaQNHfqq4NolwU7YWN708IMunYOCi4GAUBWx6kM
ts043GXk6M5zdnCeuxVLcyZOUgLKI/NibrHCJg0BedvcYnGLzx+E0DWwVtJ5o/QLZm/wDMdIXxMM
wIUIfKcigbCwwrhhl+hW1EUMG6lO7HGlBqbmsa9YKfPepx6JSKsE+NEyRyIqAmbCXh1nBZU7/hBf
EIN+AZ2hw5zgH1kZbKl6Dc8D3p8yVHfEPRQ1L6aHHTze3NEdo6ECqreSUCXfyx3d6ZKFCu1BIpiR
oOHxqCGzzcAOb8FFDEt0rngExuMX46UJL8P7e2KwRWBUyYmrRYv1csdj4Mmgoks76Cct8OiILcHX
YERXwL/MYtbwyBsuz2zlqT2dIeyseIVKZ9NlH8mbNEvPoageNqKQh28NLjEpYYtyJodYWsg0fDff
oQ0T1ZKEl1dWHn6YYZLfqDv40YtsY+66z+i92uB3CKkOucUbe4gS9e6tmDb3gco2Pn15GJsY7dwr
waDjnMhkdn9fNy15jwHTAjEeqKHZL8V6yHotSDG8TS6XoKXa27jtzDZGqjm0d9kgDZRPOpDVMF8V
RBygl9ikr/KO2qeVDtNPUZi8fKL0Hck7ngFl5jTArQ4UJHe/wCBkFNC+fJx9wmMul+U9fWmxneVr
UEb+mBiFMB2fFm3VQ5QQUPMEuvmZkrUF7TyGen4V+HOzUrz/inEuvlgNAhEbSbVrfuhRmChBGWpr
JAL2xxBJGZk6BnoDevC+5cH2GdI4Homkb0Adfu3udtP+wwqSd5HfbHOVFt8MNBs2pnl45pwcpo4Q
MhIbTY0TyDcpPcNPENnD64z4bj/zBDObxpSf49m8hhjw3Hp0R17R+vvec1yWfr5QxbDC83kbUAkn
jsY/zwEewoscEooIq0ugD3EYUUfVh/exPRMF4tpn6KLued2d38UN+VwOaeYSbuNuJ5bLKpibTFjh
0dmeP2/uLtMetAfuEwsPFxvuBCQBoQyZT4vdjzzDZzB2t1d0HTIkJMfdM0O6R8sXeZBH6JucTRvb
5/ENWORuIEdgmKb4PGvcj3oQb+9j/iG3d7WN+YpAsRp3aMGxuZAR4dOvhy9QhBdvQlQc/yxafxDu
PTsAVodaSR4idcfxr87MgNItL0MRGL7FP20Z++KfPlFmwq+oBeWccR0fvTyYV3jgVSQApvsGlmTq
QNIaCrTLjr8VYZ/FNF030w4rPPqFwX3EPBLxgrxctvYGrA6KhsXlrRvnMImigQlXZber/zXb53+n
FazQb+NN0Q28fqzy/nHvbfp2SE63P8v1EM79dITvS1hWh1hOTPtbo+ynPTH7Wha4tN/+1pX7sfWm
OqyKVUIkRCrzT0tYYtI0GccOWFwsM7+zJ9Z1sef9bvH+Qz5uqCpNPhmro+jK/7iEdc5JjKAZ78tN
9U8N6wikPVE7tg6QTaDokZzL59ZyoqXtzJ079JGL+Mgpw9P2wsohiAhYzlTZN5V+eLVzclv8vnAW
Sf6kCkpQG5I9MrNu2e5iEzbAZJONZf3kV/Git5GXkM1rhJ2Ntjyyp1WUzXqhNDuv8gW0idQtwM1e
p47k6894I3zTu4KWUujDNcPz+EwmQGB7p/n9CDZOsDSbY2cPTx3IHNV6q2IWTtXQnLUDu347Xz9J
iYnXvTfQdcR+6MxtsIHdALwvi8gWKR5Qz4zVFvSI3gPJea3XNLAuiY9JmU4RzR+AN802WUa43NbJ
B8FsfTQ/nzzjviucO0Tq61ArbpOox/UikoOpFiZwS6Ll6XZk7Lp4RjpVihkLqIAlfBL5kqcIVDBK
esD8AzDaJCZpC7tmxz5krflAiI5AbVgcsbo/UREzR9h8tGOzd167MRvoFLXcJHlju0/FGIrRAS0e
yvQpPDBKffLX92bQDKaRGWrRjqBdXSMDB4EXIu7iWd9SuvDUFyoYMj7TdGjNBYLI8qxXIRCjG3X3
9I8W0ZBXHHKGZoW9dSBTnMaFeLpylfPs6mTj222EozK94CZkzmFhXD/e22jSt0/QjaenWb7j4ov9
BNKAGqyxJGhIU867whrVbqRMq0FE25AKM3etgaw6TS/RUh+ZEUxh1/GsoL9NEc3dX4ifAwdn1f1I
YofTk/KDyLGAQZsRMXdG9ZYMstNSONIfmJ1KUBmSZ9jQkUIJ+Ml1314nD8uzWazB2JyKMsUD2Uba
zNswWirG7FFu6pBV/k563AbqbXNr99Am4/eKWfCMjgjjU3dyXPOpBcpIPWFbLotxM5Tem+dq1m7E
PEWc5b6JEj9SU7/n5/Xy3heQZGZ284LKHvfpTWM/mAfJhraLfmCVz0+6H7bjUt+NibP7NJnsQZgU
aPVVETNV97qf8qmET+g4m5c8/zipfssVpob6VGKamlOPzrdwRzDtqfRiC5mp/IopacQ+Is0mRfQG
HQj91+jlceRciZmoEHqqlqmbbgPvNDZlheiHnyF9DtsYoRr+hBiN36eqP3fPp9o756PcnFO0pQ/C
y2GE12ZyNcKiYX8wILxKR7y1sdMXOuodG8hsQaTFq/hO5UZliyklYWruUJxFdAHE/WQD51NZ3hdY
591O7FJzuFq3eKHCSApkP19fYIjl7mPRrxo2wlH/FSFxZ3tcs02mwNaKXbMtWbOuKQdtVA/ZbtXJ
RpFoIxAsfj88XqyP/0PemSQ5jnXZeSsyzWFG9MRAGqAlwJ5OOp0+gZHeACA6oie5o5prB7UxfYjM
soxs/iqlWVWZpLKIzIjwhs4O77177znfaVBhtuUBUfQ5Ls5asgfo81+9m6OMGi3NQCqi6sq/qkN5
aYXFP/9TWZzrP/eI/3grv+2H9HoRfyHamvwJecJWiQYFA5dOs3fspvy2H2riKHmnhyzh0xoFLL/1
iLFYTWgRq4b6Q93+t/bD6e99+L/sh+yEuiKLPAUA83+/H9YPhZ0yKzlhc3yn6uJsheA3G/8OmHjq
QTtnDq6PckXptuFzn9LOWCBBidv1fTkGi8Lze5LMOX2R/LxdDx7Wow1XTxfArVak7RS1hlqeYkCf
NXMQ9hBNMN9GFG2OmBFmySuo3ZEkjuJ4AmW9Ok++k12LsJTKAL0x0MU+du4IPfg6tp8k2uLgVB1w
1QYtaYLLz3DVn+AtFTPU30KvKr+mFCLHobloGjNT3I4ffF/IZqKPWWF2fqHMPiLlLS/6jQNwrzs1
lu6TsQ8tHPYsSifs18uYLrknqlauzTFs32xlWfQz2ZWRrcyF1O0cuNbKlvib8uHUpELX/oM7ZzI+
lc7G001mzSpflsvd1R1d/3vRXL8DuUMngmgf2U3sLyttJNw334QbMazvljTV8cNYbP3xIkE3Z+97
6fxMt/p9AREFgWjK8mHTMRwjoYJsbeTLeF2McaKzhm5T5dxSS2IJVdi9mI890hUAApnvIzDJLJjN
MZnmN1rSx5GPhNv35uGVGHsCQoD4hiRAk31MvmAmFS/iNLgBsgKdcg2tTfWRbhWe1cuYXSR9doc7
YPadptgCMIF2I0izvKHmmEDAoRUoLqJJZBE9YKoI4cBuh6dw1Dp8hbYRyfYVNUEUgFOHSP3YVcbV
0WX2tqWogIO32S44JMB0nFDe2tNFd4oAM5TnSLOE1QPYXJ4by2Qn0bSTplZ+XWVloO7q6T7h+OB0
23x7tbHKab0dGmZ920QClFv5tfPzTzYTnp5JbeuYJiok2qdRsVdN5p38dc2z2WDT+HTELqTWwHuV
G8ASGTEkktsjYT/cj6ivd7f8pT7TjkI/rXMfGuV7VFDXMH/iHSJwPjP++0GQAND6KgcZ3l5IbWUw
0Yw4XDpbD0T0H/B1pYh+nKmw30Xoup+3jXpbIWm+ySdEyU0BUCKEkgD4LRhvPXs64A3CyQa5N1+F
BDq9radQ3Na0PrbGST9lFlLFVX316gdo9E3y3F0HGPTDYeqNVDzyWWmNcFqY3956m2t8SuLfh7J6
XK3kaesvAPwMm3EIwuYI95yyqo5Jt0myN5UwWxtpMZ62uw0xY7LlKbx3Jz76KGYIy++etmshdrr3
fn/VF/GX9hY9d4a0RVDOVDjLn6aRXiSxtG4oX67W9MYpxpXbKdGAryq2bEY5+JZl+ajFLvInWjQP
1SuWmbqBEIslrh8JZVxljpS9dfObgCyUs7UzsdIVtspAujTzEkVorS9S9V3pP6Nac7EB5vo25hJA
YY68m/PpxE9f8hfGtiqz6AkQu9t7Kx8V8fz398j/s1nqX6up/29MimWMwPxhOlH+LUaY9c//C5PX
uFV2H38efPzhZn7bJbVRrWmMRuFfiryfBh/aj2RB/dfKkILyt11SMfBeTVBF6wp7ovLzLqlADGPy
wSBFVnF6/Z1dUhvj+34rGn+N95OhRsCLEMnS/sMmKVdhb0hRjk8JDz+GKBrizxtsQbztqFC40sFk
Po/qKbrbabR9Z2OTnmvSJX5EhBQ16ZcbJUhXUiCsmcphagHBTxmRFX5YLK6NNVAU6casbtwd9OxJ
uMb4UcRLuZxjsYCQ2wApVJ2Vc1aA/6lODEoR9Dzmou/rTEN/BFLeb6i72NHKzr3S5twhpsOG9QsK
hMzJ6Kvc/PKI/1vR5T8iGpv/8d/JTf+rZ4LiHm+dymR9pBb9XD7X97TR+yRN/FsLGn9KWrZOJDOl
dDbLEHJJEMfS492FwBPpc1zFN7weUxvXGHu0zDqv8jdBuqjZ02QyJOONNgxioCwldLTWvhb+A7RU
bD/Kwz3dkhCSkz7thLWrbSV+sd1uJRzZ+arYi67wMfkepx3fpCgN31f/5k+sfcxsw9eb7QNPzPQd
YQ2hIB5eNflDAvDOSMFAbOcYa+5IvC/4Dt18ui4F7ibZkeSCXkn44eHmEEQICcItOPkpXV2myx69
82BwapZU1Douj/qK0XoPfY2IQQVcrejyNBi4Vt7SVS1x+zGsGnzPZpnO3jJfhbb/qkFAN1s0skG2
rzFXm91ZGKdTVKaFMw36Begs5VsJFPp++/Ks46RDcjMaqqXg7SoBoe75L04X3MzjexA2N8nk0yNz
iPH1NjkjuzSwGK8VL94g4sxFjxfNniJKF5yO7e7WzEPk6nigqS03yUFDxy7rmLn466Zmym84beEb
u+hL37VgnPt5O5dOoU1wBGWzcnWGMQeDYAYk+nHMBPBqEeSnvNdzAnMjpl+qMqsvrfZEbbytotku
7jY5Qa6MeiLUMs/WUpcZ9MdoSUaEsBQOPT18bF60WqkiGyrIURfV9mD1RJ9Do1qtBmRIQ+wNvv5E
U8pcL8Y7Ay9O0QFmXDI+0PJfVJ8kfSfHb4m0wfwbN69KnJvhmwZQUwDpCQIU+me5r1rKRvNev4Z0
zzfF9E1tRup040uSDXKUmIjnuV5Vnyosk+mnXn9ViDijDaBcbM31awTmiOmczLFWPCnpUsdukCjk
iVjAz2CVwLU4XJdtsQjjybK5vsXhLKUrjsCZLbgD92S+qfSJpWX41VntqXWhqUqlI+/7E+BaV6PF
E9Hi9ye19VPf7q8uXpbDP61iMpYTgzXc0DT5D6vYgwU4T2NaX1yXYxAEWZhm6tWXDKpKSmrkfEov
/d59X6e4MUkwYNb6tEM26RRlZvQVfamB0vEZFcE2mZd0caJToqy70bUBqEvCxSEl63/jTou/nzn/
2rDTVJkgPJn+4I8V6SeDbZ8LQ0e2fOLfmUYw76sHOtLaNl5ICh1nSVgwF7gG17g4PsLdQFS0PkHH
+p+98kTnPy07pUdvjcUJEeU38o0YAgzvA5uFJ1qh1d0I6+XN770UoIJZqw6/tUAFoQ7wPLHeKWzw
qtMezC2X2Whst4t32eXzZG1cN8Pr+Gf3ii1zXKAMJ6RlpK1UcCr3TbyYLpF663T7Ce0wvPyV+/Cm
m+AgOfwGLEbh1rBtjYO/yTJz85MdKxEYCmLvSAOppjaEmQW5Rc2ZWmJciYQ1a8cIB4M9ZcNVe7rV
q/ZwesIWQqcs5yxAfLogPYFBCBwFXiAG82f6eU/QAj9gkf/R69Dze/qBT9qJYOWQllPP2yNBQed/
79UorZGFC8sCGTiAMQhzvewqP/jeH0Q0CQU9UqDGzf6+MkLDnxJTuyuS5aFvwmVCgK3TsUh0fpfk
8MsZSL6mGzh2WnsIadlpxUyZniLaeNXxQUtvTD8sks0jBnlhM4KHl0T77wlMh/kmLUGN1mA5MxbP
TX9iWnkvFuPiAQhJDWey/69fh6OI5KfF49fLUMeYxglNJovyD8yo/8QjELUPKcum6P87noDGE/dv
R6Dmh+ruo7w96iSK2z/883/+/3a0n4iKNsLAaP6MjaZ/PAtaftUfJCRCc5iVH/FXdo6YXJ+ThmjK
r67/ixnRH275t9O+CsaXftsEXsIoJ/pZ5gSbAQQwgIlfEhV/Pu2DbADbRrPqXzJZf+qJjZGrFALK
VIML9LdmRCgt/2qnnKDaBA8B2EGa/iHOe5L1RX6fAqfUuyBrbJZFTmjRDPTYRSHLLdv0SAwU2lfN
UhfWE4Tl6PRk7I8RiBqcMK28eMJPSAk7/OiWVxIJapf/N+p8WjAbGMD+6nQIIN/0sNJMFg6AJi7U
IBoXiYMSk3wQ0+BCfi/WY85Dw1A63ULHbXbNPWJ+S/7alRA5FRv0O80uUlIMWnOKiNh9Rm8sHA5P
3MuMTCexhRBm4sVkN7Uw7nVr/A3/CDHCyGll6vKFtYEs8ofpee46X1Wm6+5yy3Mc+gxMYfkgiXHs
UdxiIZy7bqcFtWTzU0iUreTTkAXGh4GTmzKolE8PxJic+ekT8O+II3VD66I8j/cOzQp9fWkU7CAQ
gC4ztWhCRDv5Po8lVDHgIsnX82Xko04TU2hZ2B5G1aIFOUwGWCk/YJjjHp9+TH3pHmj+16ieYTgT
gICyC/fpQnBwOOC7JDwxOx8P9w9gBgIj+xy8GDA3zvPjOH5M4xr4ypE3ChWGZ2O5xypukRhkGbCc
EevwtBxTjvT6dLDe7/aXAEPgyYRMoYWGQ391O2s07Z4DGSMj7WDjiFb4MQXyQ3eS6q7luGjmSIeY
eQFAnpfn0COxby5Y+3d8KceQ3gsn/eBd32V76XtyW9F43MslOYw2Ob3TscyBSSWQ0gO+lxk9vaQx
T278K2WDfEqfDs8yT3efLn40SGnX8u0JqYp0TqmQRrhVuxiY4Rkfwof0LXzob2MgGDBTuFiEi/Ee
bG1UAN+cS8hMrwkzwLBF/l6azvCqjfqh14sfYR8g0gP1BEYiDHKXB8+fYb4P3DjxkfRLYS4gY8KY
K8CIuzNS4lmqq61UbmjBcpzEbiYTz0fIiPV8qxcKNdRIIUl5cjh58HLyk+FrjQq9MfYDkRL1Iv3J
CuEYlpvnOoSolJhPEjBzBq9eSpgXb837nDdQnNMC4vGCc9XClczMrnmizOXPQnkteg+B3fWk4l7Y
Fcdb7z3xwRG7Btbjbk8ns0pz78D/SVyjpnBFWtxXsM6mduPR+ohk5tmpWWmBYrX+ODvkOjbFUze+
mxj5mK+ExQNzfcwZ48n4/3ey2+EVoCYkDcnR34Q33lgW9VTIhT3B3AMVNfLhYN8fXwN2GpjeLQkd
SyqZwuVffaCYm/vhuU2/+pm0H1I3m6f0Z69u/XIVx7T5Znnlfesxh+IdT9bovFg30FhzolHaF3Fe
LidfJb3mxpIc4SJMzYFbtitAWh3tBHqhtjofQ1RInV83S+MYMZNzcicNumUerCt6wMETlaBk6SRE
cSu9DwXQjuaP9+sHImPn/iLu2xe6rYt0ntnluz4b/xTnfDujc3qTuC9r21XOVSA4e9mmwx7cE0dd
TBOSklInDwaPNwvMlAvhi87TvFScURF/8ticajfsYhd2ra+77YYWBh+m5Cb9rthUq2h+3wNX5wLv
VszbrieBGJdZsde+mxWYqFnr5zuymmYyKXi8I2m2kI/HBZFAC5ZR4IwZeYpDmB+CM0JTHwRfN6vr
qdhMOUav+v1wlqzwu1o9zlz9ZhSkjjh3n0AJr6WdHYmF9fHh4jo5NMW4QEiJV7MoPYiyoIRKlmpt
JeAOJbROCIsi78HJDRxiotiJSAALkJ+JI93e9RtzUOsBnSQSwF3WAHM/gNuMkMUJjdF+tKNLS0hv
rIBJskl5TLQjBsGPyyAiKKE4TaQFljLR652qC647GS3MB63lbkFbmV7yEzywaikcPmecAzOscZor
yHtlYY2wjVODWRcQmuoPyvIGcyxd1lT1jASgqq+Sm6lwDd5MhAxBV9rVEeoWWUYYb2nCZtZ0nXZB
LtmK2xK1AFuHsSPdVjH8krlk0uU9Xj4uAtwLdXXN5mHtDc3WCL40YhhHmaUC7CJIPSRYu6E71ZdC
45kj1FOXeFMIVCVUzfGSKJh42SYIOWnnYq0hcfgNoMUmm7B4eyIKJsYM3p0Xhou0IjsYsAezX3RQ
XyJ2TURhzVZ8OUQkJbUeioVZvI3cCnVktw4bcw5ymE48D1je3p70BNTC4xlbMnHAFAYxeU3qluFb
5ylv6eQj9MGOdLeTsJSp7rsvZmAF1qzCuyFIIsYzFdYBkSMqYk92hwC4DOGx8W3qTBRhRqBcWrr1
ZfoJrZmU2mIApo4WIrvsokoh1+rShNPZ1xDuNKh9hCIQco5yEMiHsGx8zdgWtPG9yfzliuFN9Ekt
0dIFuLhs2UZ+/fW4+bnEUrO9vk95IJFVzab5Ml3HQerWh/5L4gpL15OJOcy0++KRbjvp/JKj/MSr
vCDqhJcWL0K7ZICO/nDycfu+c1SgqilX/EXIbDI6YCF96Fdb2HSNlZ9CxoGhX8E5JI/ukVnKOl2m
B6XaJlcP5AupWi88/1iz1aCA1PME2AO3R0hWI2A0mYf6/sen0dOgoSDkx+wFaAlIaYEdd7Nubtjf
hi/42VeIKLPcZdPFFHAQhU3h4ZqekfQx01YyJeb3A84Qg+4Jwk5ZBDqK/HCO9JVrIecIkKGE2JCA
hiuZ5imTzLGPM0MxRowMhWm9vZm8XPfsSBdIi0hRPPFFGbQ4tMHikg5rytLDcYeO2mpYEDsjuZLb
7A3meoucH4NOANQSsIg2XBToTmtadtB/FuHgKoX5gNBEltNsSvhcBiB7uJRoLDzILeq2X4GN3NfL
KdMPB5FAz2jnjKj1QQNlriyekau/Xucxo8x9yHa7gtud/Mg3rfjE+Cm+9mpC95uVPAZnshgzJRV3
FNPBiKIpHNu95KXPFy6JWPSH8FAhreM8UVkw94qpzTQoQaBskTSzf6gkZnr3JwxFwifTT0L5eBPL
m+SVVpX+Wgt++bCrCx2raQ9fUULeyNpG72W04PdgI8Vwpn7eE28UAIogN1b5ha7BqnQngGlaqloy
Z+epMI8P01WBxcXYT3r3xvgnQyOZbnqgPL37kitnlKkTYuFsxBlZtkrt2cgESO0avq1uw/syFldr
ACZu7H4qXv6iISb+fvb9S1v/52P+H5rZfTu01c3gmK+y5UlWc44qNz8MRsB8jzPKL/kFv6scf26e
4zf7qYL+808bP/9TIytNMimqUyOm+vfpDof0eYKuIR6o5oX5j2F2/z9F6oFgM055CDUQZQqyf1ym
jrOnc1d//VVawh9u5LeKVIMjSK2nT6UfdefPFSlWF4SSGH7+rNIgwkDHW/erSIM69reKFPmjpBvS
hC8Z5ZB/Z/4E1Pd3751/6b6MnEHdwMYj/eGdml1ryWiNYlQtImkHvaUs1dbCNtdH9rOfS+9tMhw4
su+Et16jEHnS+A7ySWjjSiicax6tLtdmqfS7p692gt9uJq/VjhGJ3joctEXto0/3goid7TuMZj3Z
bwIE3ZHdFqHUKpeZWLj48QgXfqXRPnFElMDafigxTAMKR+QkBmI/H+K9MAXqKblhc5EQvvmGZzz1
WYeQAqUEIPzwnVyDbAHjIHWB5bceWubUhRI4kBRGpTP2EUkg+SUPSlNHDgWVLrOhnrR0+4q0ghu5
/wuf4v6GEZHWJuVG59SMet7Etzq2K+EorJE6IK1QP4CUn+UzVQLexB+0v/GLQrekCK0nGyoM+qzg
KvpwXcJvy3FRUCuciVCPWQ64zXiD60Z6cIoM7eqVjDzKr5isvDahKdqls3EYM94LtIYdjFL3uQkb
ZH5bhNUx66TO9ko3FEEjPx3wogQEF/k2tDub7xL1WVbboaeuRXWHlSmSvOLpCkKgfY8la8WZVHbj
z8IvTembmVM0WcefEt0CIgkwWeC7nN1EYIELDUWo6HbyltoX/QBDLGob1ZGutflk68NvRM92rtP9
beCPDCatW//BBIBGc4cejnewF6oTWwlX/Ea5cw0P1wLe0u00tfl5ZNKTMN/Qh25wZ9/WUAXzu11S
qtlZ72F5aXgS8XO2FFD413cqpfRWXEjnbpVTIlRBOf7aFm6xlo/qJTO2GW0NBvPNcuxu8MqZKOb4
pRCRXR7lDZs6Q3/IaBeC3WxxoVhTbUFgOSJIDkgNNGGMH2E92BKIQMPWV5OrqUJu2pd8/LaHDr3N
NpOTsuk5UpV373YM9wb1eziZR8VZ2RTUqjUWgUx0FL8ivR6d6SpcTKE4mxOOwZ/S53AKNUcj7fvJ
lo5EyOJEbVWp26S83hzurR61yZ1B3MtkLa3FbfPWfRjX4P5armtC4AkkmU7XDIqet6/7q3C45l8M
0YDFSP4Nis+json/VfY1V5Mv5zMEwxoWKZPfeKhapAmCOWzyN0mbRfWsEl+VF/1dJ+DvqUxNjcAI
i8ih7GHp+SamCBa945GmrXMUVbNriQ6ZIKfPCYEEbPEyyuRJfi0396DHutPYPT1k4u6oNSjuOMzY
KJ0J4TaNFeLVi0ZN8anviFIlee+eOXAoZLjapd2ryztxjlNiHgdLJQ7yPqcEioECTwZEkgAzSK6F
qqGXvEqKsqxaYdvQ1sHllRLLro70fPnxTtJc0xEdB7ZhhYgzFe2mfbsFQv0pSee2X96IqlSIrMSt
7aqCmZKeW6jAwuAlaNW24gyuNrtVHzwDBf3VizR52rSvIl8a6JYscX5NPrIb2qXvK5F0llzMJ7xc
5FnxxFqyp+j4mt5SwKXucYRCsNaEt+2g0m1/ucexV+LeIcf29p2JvK1p3RRgfTa9vpFmLe6nlzRz
u8ncoN9EODX9CZ+J2J0YdJ1CfqY2IwR54tZzTVkBMOAyQM/6nPFNLe+E1xoVkXDbwHVwqM0jT4jB
Gpy14hT2y6+kehAhSCE4ck7uopumhMcYO8UeiQIDazoXF8fwz/I2uzZuRDSOutMFWAOCzNVCU6bw
9OpDQDzeY5lAQcqCQrDNjScMUXVdEVicfja15kTg91W8LBpKd0x3jtGCgjpcTflwf3+8VMBo6oP+
8AQMZPQ3lvmG8rXxz3fJMx6U0oth8HlPAt+Gqx3dQdI4iT670csj+5KxMOG9DFbh/k+8ghmU3tkK
KSjwRQZqKxnr1RaEebNJ231PTnw8Vy1NTj97ck2NG80ys7ta4oZpUpfb3Ry2Bnm2wstkxPRwvC2Q
CzXrKeGJZiYfQzyX8200FVbwY+38QXo4Rk6GyXo1M+JoySzDTFcliZ6R4FTt7vl2K9cxnEz6aAgI
GPGjNqRtxg5G50wnvjDo5JP+xqf5Nwsun9OCUbRXX6Ho/uJYbFh5iK0RLX3DAAGtn34/Th8Oxkra
UyaIuxtW88zCVg2y93GzCJRR7k7Uf7XhtzB9hfnYx8TJeE04mD1C9XIPaqpjTbkOaO/LB20vtvXM
VWh9BU96Us/aywPheUFGl74/EE9KdJn0dn3t9zEqSLNHhA5gNl5PS9Lp+0P9NdG/I6r5NN3LvBzZ
IVwZm6xfXvOLQXgDamzRoYq7OzpvHNJpfAh5zwvtWr07Zcv7j2P45Y6c22Ag345/Pt+UMXOoe6mX
jKourXcL+tXAJN2/1pa6H5CJT5GLp9DmEY8XjzMLVfzGNB7jgdscDb+ZPeqXibo0Nt0s6VY/Tnf/
lWcyEgZvVEu8uRl2MKf/x4fdDQOZ+uu7LCCx78r7pazLP6mu/nhrv516dRVFEyQ8+c9zGNReTPlU
4hX/jNYWmcAYyI8Z4hBi87tT72gqmmI21/gC6W9lhEk82N8de3+UTBKpNxPECsyDAPP9vmR6KIku
1xgEfJmCFyYWOb7PYp2Wn2hGVID5hXKRmsTions2QVnMu2bxCJELMUMZYxN/ZEDUx1IPFHIDaSNg
qx0AVn13hvvA4YkCcrLFoZJidbEMcSFUgp1Ok9loMEdhyMjbvoq2vFaxmxjr9FXbikQfpLMEr2pa
fIXPZZGhk3RawQh6LK0BDWwOhG/Sdnhw9c/b6TllxP4u5Guo/73g6hpmm5nSYraOPFBrMDdFY33V
ostU3FZXX0UekHE4AEpz7dbK1nhJoY95nBmj431AqFQdovfn5UmnN7mPmmH/PivpEN+PpIah1fAT
xWyx2Ha3bBWqI22uIgdBMZgQ7TrOSkN7qdpLi3iIDhMbIZhPpieo2AwPQxGG9LpskbTNdUIva2Bm
j3JVsbU1xksBtOeOZ4d0yXl/XSRnzt2Qwcz1ZU3+zpshuEXBXuMUUD3obF7oNWvqMXH68KRrS/Eo
i+T+umiMWc8wwko4alOrbAvT3Rd2xrI/CSJYxdIXBPNgtEZy39kMeYJ4IaOqJNQDLPMmHVd0/tMf
K4xG97eIrEuFeDbUNrnH57WtxtdDp2sx49YcDGyg6+zQbuZz7xfiR3Ku9Rk+aph4d/e2ENbX/Xis
7775wLRNN9XhfrnPDDK504kpUQ9E7mNeQHBGJ1ys4ufm1rxxvzpneDjyNQmYr00e6/zq17Uvysh+
6bO314WERSM6P7rETV+fuKJ4NMJLOKK6j9Vg56/j4avEb/WJsNe+DrDUbm7hgfR7BPwSA/2Ecem5
lD3BLjwMw/QUERbJt/31bmFMV9OXGy2/RA8k5LjhjionX3a9+xhAoqTzB+Ot3lWVVXFbTLZkZEyI
GAVq4IVVTYuScold4t6+pMaKk5Ve7lIo8M0CKYeTLXjteQAytZYYYUcDxfIeg22TAtlNGGJMH+uS
x6iJJ3LIAXeaUgba1WkgLklqQDgZkcC0nUE87eUJXhyrwubLQUpBr6JNaL9ZPS8WX8wPSDvITs6x
VD+M0Fnk+VuabYdZTG4Fz3viJiDv2jUvsZwcZHEerRtH2d65ijre5FQ5Ae3/AGkfUsRtW+yGytPG
16tVNyWGnooWpxwu4Q6qxnqizqVtaTBosrOOQpZGt8QmXX13DGsfH2yqhnTGATfS82NLrBE8eyoy
dbU4E9YhVUdVdLOG87bilP33SFsgFj2iPanDciTMvRoO6PvuL8lxGs7r9xY8xXUlIeM6NPObPfIR
b7TGHt/xXusPueoyJ+Zl4Clo9K2s7riGyXYHVSMx9aLURJ0dhE9ffOM4b6G7xhug60E5bDlFd6lk
E2iFaKufV8O2jL6ksrDjx6LLLlk5KzXJ/cdJ9sIBGJBupYvIB8gzi/w2iBbPrZF5xQO3bWKBXeAl
YRUxR4d0b4LwsW448BOcY68co0FwVR9XjmisjlenU61rDSnDvO8in6JkMNZ5uYa85hYzUXfr3JRe
CBBROLf5EzzbQIFO4YJiTZIx4JmMkD3ElJ8Tct4H0nLU4FbPma7o0gyvW/iJsi572slS8xvZfO6k
TbKUNrdZwYp0d4WvzpXWPFTlRV2WbyUMDMAXFlweGD79zRK3Ex3KXPZd3bkj86MA/Uvnoyrr4nay
1g8huAEsdIJZdssstFKdQYs3TZwY0yMJ2dzJPY5AEdw2Nr/su54lnGHNmoHP8jkX55lL5xtXeM54
F/cJt8Y9Z8LHCP+6LtaZy1vw/bEcVtqrZhVrpkPFmjgE3wA5OhwojMgXGy2eE6ZS6e6SmCXTZ7II
LcNN5gWTuunUYSm/vojQSpvtfQ/v07zaU55IAMsIg/a3GxzO9Y3rr/Wihbxtv1O//Hj2Ng54LkQw
/ISte/0l2XLTF6aiR3lWkeuD+Wwww308AsiWuTi/3iAks1uavF6c5LCr9haFJOhFaXH7xmiID9C/
4o14v5OW4/2IeZzpVssbpYBTCNFom83lVTvPiVoyeXVv8wZJqUWbbvpC4TPCI9BMB4IH/N6azkae
OYOB2jytaBBtMXxTqjHvwKjoYC9Z0lnClgNu7Tv+Ns4RyDm6VKtoGc7yhbKmUN/fjvJSWvcOmlKO
4MDTC2tEyjRmBS4G8RM9643mQ6GZp8upneD05M4tGVVi7Jj1P1IFoFUm6CryIHcyJATtkTAZ4ZzT
CKD9flL212/e+HN66r6wm5LLiEdCQ6fptkfeATusKS22ztznlZA+v7rTffshfOkP/5aPoTtwHzHY
euRGOLrFDJCpVzubLgikiFp7Qr9un+ms7yQPs86ZWEyF83RPkFF69x4b5VPx1V34Od4hPLELmDgc
XiaeJm+eq9uMFLql4m+iiOdknEtGB96ZnuQ/RDwTl2jq3XBiiV+T9WMjbT7q2W0eLZQXsIdg9hHc
bvMFJaOHKbZUXplcRczIW0eRSbcMzXPsXJ3zaqWgs0C+xjFedrIAQVrONEN28OAz4yBTaDtdRxvU
JdC3iLZX1slC3D6whA02LwfASMiE+X5qqkhZN7g3NelVDkBysm+nMwgvdQXVo7HFbfFa+vdXiaSD
B+8JRiYu8H4/yi2ewz5Q3xnjJ4s0dXZcLb66HKCUcUiZyJ+dfTMPOTHaig2So5vr/qNkTjWh/GHy
Cj2S1uPDRqG/H3xtdl9iT3qZzK5OacuWEShuxNnGrhnW0/3qcWsx3kLSsmV0Zp4I4Ku2QHkGyTYC
2Xm89B7hsfKhAqH2HG0w5dxY1G5H837BsYAEl8qhiwAQAYrCiFjI/NKBqDnyGp4byDAz0DvQMuwK
iMLVi9zJrNE8tbObH2wNEpPW+TrbZhA2HrSnoDHEwW2ZLYtluMoOxLzABczd+r1a3977AxFKrgDn
UXKL1B8kk/uwU1yVRKXbjv0t/ez2/Spm3NVxCLGvKzIImb2S/0H4hxAQ5cB2GshBS+dzX/nkDrpi
oIHKLP0nW5/NwCh8a/a3lR7gwKPTZyn6bCjXWrwrshfxa0ASfhiwlD280WLLs4QBnrAQiBBPpNlu
j4wit+kzq4SWQXObxRrCH5ev4i321G3+3vVeBAAIQCWneYv1Qcg9HeZutTXeuRGGziV299OErVaC
arZMGnxZkzeiErPCGzpGaiMwFWW49Mbwqpxn0TZs7Bp6hhRELBwZJqPxR0noh/CFcdhsLC1xp7eA
1ELKXzt2VLNCUW722MwGK0uBuRG1YYmJL7Jv5M6tTVkOnY2Qrxo3abCh5TasugYTpCNeZ+RhMZ9d
3qGiXmMOr2ZGhNbL8GYslXXOeJ6S3AIPbaUevneWWmT185AdcZSn5ovwZXCzM++v6fpIQCJfSzuT
ZQYo/jy0PxY8zB1D9Mtgq8Hgt6tiJ7IrGwAxScD1s12+aa27U7+z9k3cB5dysTphwSIG405fiacX
/s7gwvQ8qqBQ6EXbsXu/MI+diTPSvsjqvFuGV/lPZvtnXoBTZn6M1/uDSwOdm9W91c7mKHtHIr7d
1K8W8WpwPz5IbAOeQivP5yA54mv5ttXhjkKMw6t5kInU4A3AWrxh0+HBG6x8lAjBPRhckoS8Cros
35LwzCATJo1YWzzHXcvLFz3jAYNlEtyvX+G9tDcftwstZ4scdXNiV1ya4GWYqF4js17Vq/6M/c3g
0ffQgmg/bhmdI1BS/NsRrlUxK+ZI3PzYRXbj9hf0PTbPnZ9wx0dCLwheEXaq6jV8mI19/ljH3/CJ
d+NPHB9P6n9s9rsenhkpbeP31SaLymQOicdGeMtTRFALiFa0cTwQYvZ4WbmYuTV9pZwU/5dbEVh/
rqvrihAD89cWWtf4bKIeMgZrwlUHrfXHYxhpJpIdI7rgcn7YgEXh7ZZ+sWqgnsAg5qD/8M/sSiyT
48oKEwlBAs7EHtyN5Cv+lKwbbYRYgVhwANZQEMKKmqVLw+H0xrv2A/+E6qnQEhQXGMIc5Zh1aL3C
iuxvVOmzYfZ9OJ8K88gzvQLFEui8lzCpbrgQaRByYoJlND7M0L3NHhtd29LnMrPL1K7sEaNj3M0G
MKO2KGbhrHzTlwZHPu1TYQ9m1/bLJRXqLF6XXnN4muOeO55Emh/ydMYydmPuE+5mzdmCED+ILuM7
BofgvJhzwmDDi7xxi1Odzh3ZuwQ/29UmbB3Be/IidG4FYFf2/jd7Z7LcNpal4Vdx1KZXiMA8LKoi
EiMnURQlUbY2DEqkSJAAAWLggFU9Qe9726vO5/Cb9JP0dyW1NaQspV2RttXR6UynLNEk7nTuGf7z
/4cQjiHyqjpXZhnyDEfrUcEtU/JmCBkh3nfn1Zr+boDwQ0QkANqooaqAfxDQ54JjwH+tFX7POT1A
bckOpX52tInIEOAjNIKoy9M/GUNjaE+Ti3U357Rxlrw4Yj+zg8uQ5HrTN5kVu+dwqKtW1R2uaasA
0RZsGQhUjt66xbY7ZctyRIRbIIQvmi5YKIXY+K4Ugq8GdzxkYUglwZoBSOzWjRAsRVmUnK6PlW7c
AV5xJMTE6VzxyA8EiCrhPSlQVLlKV+tSVuksQuMqvqTI0skgIOuYEBkE8N23Vp0NL1yeLk/5qQ3i
VLkoz+NOeaQJ0alA+KTpkGqMxXXk03vsX+keIFQPF92fdzGURCR7l37MFh2j53WIWWNfrtj5u4EV
VJCfCRhrQ1lnF+G1duiEiKAHWQJFAygW6N6+J5qldoGJn02cGQq2IuA+7hWiHgDrjrn2Gctedpdh
KmYR15tlSaPlsYKQ+pzDzm79pLtDOszJOdJH5o4HfMKeOYuP7AFZEWCWJJ95M9IH7sDCeonlFzBa
EhUb0AU2/rjSVSoXsBHN1H4CQE1pwad2JBqxeTAY31OqcJQ4fGAT7BGce2Im8vptsKe9ja/BWryH
knRFLFViVT+BMal9I8pvmkiJ4Dpkd1jsDsEhJdbX1wPFHc4oOkBOqkN1XYcEkNguC8RYgs+c3CRd
cWCrm+WIQI8jJ8wsDchwolUBXj1tDWZbx9LkyG86AZxX/Lz2J8Qq/CK6xWBugz4oFB5qFyqRxt/c
+QoWy4rgU0pG1tFiVHXGYYw6ljAWc5aKGMFV+kKaGVRbC2Yp8K8kZ9hVG+9MWPMzHGsWhrqre1l6
lCT2gu0Neq35rU1tPEz4BdRm3CLiDrB5CvGRi/5i6KCAJG4b6SQfmcd1OGeTYBuwWPoArkWKJcIF
gQ8HkwgXIAa96ViQt7PprwW0l2fyGmo9BbzUvJ5LZA9WixoYtUxhLQ+9si2+k7ZVbrE9sktc/uJY
Ju4scS9wY9102kykCEFPV1SBxDWn4uY5nQmN2hhyy+It0QDDgLpTCTJnNTLI4qEQG3zUAU37XZy7
II/ikCyLXwxNvFQ7NDDr/R7XmYiCxDr18EkgcV9gg85VKD+QbIhynD0qbsW5uQ3jcNdFlDki0vbO
cbKORRi1xaZARcd8meJqNBmu7rLKt9xluB5tSLeF7CgFeWaB2eVBewNBE+NgT6DXjM/nM2p/XBTi
Os/7ZDM8lToMPDI2HiC3O37ywsWxNcO5J3OHVKP9zTawoVSHDBIpvp54fC52lpkJZGL5QJ3aY9W5
uIaSAcOUEXeSxac4CxODDz7POzMHAKgIdTkV9xmD3SfKaWxZcc1Dc8t6gjzygUB1lgFFb5RAqwh1
UFgKou3RuoNmKxNYjcZlsFG5y/cBqyEosam0B5K/c+srCiKRHZTQjVn+CI4gkbkdIakApxjlfhoW
b6nWBJmZ0LGj75D0qH5CBYaSGNOMPgOk3JT966DilSYeed0lk+bAkbaIoBO9TNAJgXTXm8O2d+jm
rFbSWeNpA0iA/M6vj+2WRseOzPbYwj6KcKG3IhCFGv+mudm0NU8JmGz/3HY7F+41Pq4vCO81jr4B
/bvuD7YkOGzfJuSk07WFqAdfU/SFd50dXQD1xcFhyoljSVtzSmSgHT5vzEILwyGsgkOVf30FoQK/
hCEju4rrJJxJSJ88CO6Z7q13PScPW7qXV5tbDo0drVeGS7mOOaGkjN2ds1rL0z2LC6/BTdlWQNbL
oXBkzFDzJnrIN9rnAAI9u2te6BfmVYqVgk5V8eLTcX+JnDisl61FNL+SQiTTA1JogdwfKacZXyK3
AqhXIKLNCGYd8sQrdySWBJICnvuSUnbQwJexY01GRI/it5NTyGxcHGDVPRlRFoeaYCpgm/g5Y5di
ZAHp8QpFGPXq0JL86dq7WVzqcXgA0SK15mF3OibaYovDuYdyjS+o8CL1RPDQlcAJlxyyk5vpCqMF
fyq5fAP1JqMtyOiQ42wfTqSwYhxqJLJrO29qBqM7djzRK+C4H3nAOXVXyByWCDMeS77sdvqTOBQi
6zXukijJLhmNOjTalCHwoyAKFag1csYuObFAh6VR8+DOu3WbYLZbBzkx4NzfQBrJno5iHwPBO4ht
bUHEB5XePGRvRlLvENE7Hm5aUg86El4iDsDBnZ7AwsJ4xJ5Fz6V3mbonJ2KzivdZezv31Gyh6cim
VIhy6Qnmq83ZfKrdiHCp8bC2zDa/CyvaAMWdUCBsY2WRwDgX5w52R0wc8r0FSZoxuhje9dIcHLpO
u1kOUBy6snxDv4AAUr9Y7yiYyJfJJLOoJJL5LmDK3MD9oYTfXtl7mSIB1N2X/qx/vCPiPVHEUkGx
oZJOH91rhT13Es+k6X//8z/Oi5vPv79Q03v6Rg81PRt1XtOw6aPSNENwIjxQSAv1KrgSHGgTFFtU
0x4xKWh0Y8EIr4j2KZUfPUKyiRqgY8sWnVCCiuhbOOn1F6gUHs/B85Jesq43zTZD+Wq+Iy5YkRZF
qZk8uB5uHIR/UEd34ozmdu62eHGZx8XVOMWKwHieQHy+PS5kSOLpJEGbKibE9839SXEKofMK1vQ4
blk4vtTz5iN50cpPtdbhXINnfTkOZVjX62hLvYIuqFuBiPxG46Knr792a/S1C9QwihtgDWA2ciWC
0RYsSUlxC+kfyPbo+BAVMb60SQiUBrI7WenH8aEPdhpKlzloKptYjQqcSl/RDcwjx4vTBU08SQgn
7py0HR8vyvvlR9Kd6rVElW/rnBZ4imANGC+BKcM5hm2XnAjfQ8liD+jlurjJbzJegk7VJXwJ6JLg
1OJyLkalA0cviCwP/oP2uAt41cpgYrA65QAhSWFbM5JypBEHam+b7t3ddNd07SvYN93zQxvH2e5m
mr9bDWNzpOt0XaIvO9iM22aYOq2DBenZ6v+ZUcCN0sZInd4Cm0rz+tdL9UdZva4+DLPD5AVG+Gfv
8nCcDYPDqoAyFcqPGh/wcJxNBZ0Ih1OpKzT0Uzx/OM4GvX4IQugvtUoqHHTbgFRFdF9+U6uk/gxC
fQdMhQ9FGBpENFHDeFqh14EDQB8qLdr4HuLqdEA5Sse7YNXHsytD2tMWg8QIoAGpN57V9Pdar5bb
9E5AJgZ9NWReaN7LtKQh67jdwjO70PuV7qebPUoyHb7Lj53iqNY6u6RlaifLed+UW7HjiYbMDXVI
pIknewrjtM+JX5u+Zre2DS1W3U1fXgf8WUXaq21yREdaSBcOzUJCTPnQJx5zqKF7V/Vw1wdH6BsQ
BCetHHd482mpDqozhQznUDZdBeLJdkFc1k5iP137AGf5UXUWQ09F6tjxJJV+RjcZRxn6z3wyevNO
a6uLVy2oWJVHNIPaNF1QDqBVbgz1SWCqEX9xPbCA54MlpSLneOB6+DeTTtGarppwvqVoHyFDTdfa
vleSsh5osDGqrTmR9I7OiOsNFQW1vcYWQEYx1NadBEQYAYU2UBcDtW5dO55R3pS8imrcfADjOiW0
VURzIqSUTR6l1DHWagvU4Tgk/8b0zeH59jZmq8Kpm/uQRJK4kwFb3RRES/BINoNFNsBuLkf6PCio
ByKFtCfgItmL4QIUVwMKO1M6OqGV2UVeGaCaiNdolrevyfsfyEkzSsS6mv42WJDOPYTSiYxunW5B
Dm8hSt4ykdet60heEnCVrWKEzJEgBM6xnVQhXL0+iD5R+xjxNnoT7XkAufheOXGOGnKNekWVGzLu
ViNR5DSOqK+sx4FT9GTF1S4rrg1kkeqQ0BmW+uVVDkL2RFp3FqMUQenqSJRVIoeMQG+w+Vgq/oFu
287ueovy3dG+aRkRVprMNMgUEe6NL3Sk7MDFeYGsjsaniyM6pXTlHOxAlUGkcLaGcCXbXORLGhFR
6QBEqWpeZsS+Bq8ce9xG0SxZ4DxtojG08iGv1T6lZyl5Aby6LBwfiKAhkPX0wzBH01gaD7NA7Wtt
pFwodw/jcOyVrbSN+b+uSdNd6id42RbhjjFFEzKqZgC90iudNNce7S5Y3oUYek5nnezl20Ab7BbQ
F+BKr87ySdKnJHC265noD4noC4dv50rTTbfunjRLv27RnJVBqkWWCJcXUbzkSJkeWR8Bnu4Zp1q4
9AnBnxaP0UgJbeRSjXbtNgMU/SLB6u1trugUGUBq5G0/inZyTOk3gcD+hKv4C3Y8TKYphiIuqyK+
rmghoG8hhrlh+ve/SYD9+UexdTBWr90r66qYPb1UnvzVh8tE5x6xEAK6RWcp3BgPl4kDFaXuGA/N
9Q+XiXWrmKrCp6VbopXhkW+oOTBsQVMJSeSt2/gtvuEzLspbuBcN9w5MXjIXG00VTy8TZkOOzcWW
Moy1AQfUAF/fGMgVyBlC6Tb9c3ujqS+KJaDuZoxpWNqrmFOpVr2NDgmgBCVYkNsg4NfL5U0p79Hf
MGJ73U+sBl6tBuz7qplKiUU71K7A2ixKHC0HlZ9NASg0ydYYl1UJ+Cq3Un81VkFoUFCQS1TV8l2k
1giVaRR3qiOV9scNNNLHTXmQPUhryI7sUopHh7ECB+0eIS8t3/YOcLkoDcr043E+2eOxU5zikGvK
7srQysJLrfyszgE/1CshIFnGYZrpk2Z52MPGuO1sVvBFb7Pi5LCTDr5jro71Uh3uM8dNReXVgjHe
ysOyST45xvp6B/55bBBV79prC3j/xh4q23XrIMSV1rut6q1S4OiHJqP/eLUJzGKFesgWEwOR5jo2
L5M0sQJ5TtUskzef8vGWUL5ewA5ZbxYjU96W3lIBs67UOnDYHPiZY4NYMQqJ9GuVLYP5Ek6v1ElH
lZxCq7sn11Ee0paiHGgb0VXwrgrGvlF6h0QFZ7I0geHuaYzYWvFpphdntT0+bbYa1RLbSIHXjCf1
An6/fL3ys0PquPFhVbsWBcJVXpyXu2JYHRTFs23kT1ZgCfSxGshZ8zEp6nPzQI43Vja8Ps4IheeH
JjIBcxEy7KK9YV3G84y0Wr5Fmqah82wp4fHnoFGMPPfQU5o5td1Nd1s06xbY9k2627mrNfIJxr5s
QtuoUl+KYdxa1PqFHuvnjlqppEdtMwP8hsRbVa1rtwSk0+QFPACV2B7pxvJUiMoWZobwnCTTcbuz
yqPdgqJPJheRqcB1ZkgJcKJVRZ5ftWkAISI6CIkREQppa3Iy+Vi6qmRtEabSMneTQqbRtt7u2/Ic
tH+8yWL/L7Gqf0EAfm/4/Uk1CW4N4kk9Kw7DWVkn94Qsgq9lIrq8bn8ez8pvesUXQ/XHt3jTAt89
0P3L+pN09ve/HWXY4M+/Pxjhs0POt5/b9i9G/NGTHx59nmrJQgv60cX3x8e7m4NXnv/NFzz+QNSm
HgctLwytnxXV4sNv6Yz7iXCPCed6uhseknkV4gDr6tH19JWRQWJs0X/5A0f2ZSrvOjRfGNlJ/fn3
q9n10zE9WbI/M64fOagnIoYvjMibrCfTPyxSzd7k6MzjbP32gNQvO+J/fa+/eAs+7IyvLtTTFcrR
gp/dbbkf9Ii3rglnU0NiDapRR9Vxnb6c5RfWofdvn/89mZFchypwKp1O4jWcqNFsPdvGn//rgSnp
7hQl2fUk4Uw9esuvHKLb50DMUlCDq7aBgv3dc/zYafhKa8IL0/BCc0I9XzxdzT8/+ic+7Y8zJPeL
L5Q8bZuUiibjl762+KCeV2zR6feO89dYZZMUkmMiK2ipb1wQpzP4v7ZxkhCyzR7dDu9lZclrOzCK
mc+YjV/Yz/cH+TfGK0053jPGvK2/e9i/xkI/rSO8trFfLkl8qxH7qccY4uIXBYFfWOyXJIHf01gp
MOnQbUN/TWr6jSP826JeV2V8LXmToqKj7N2e5hcux696FV/x2d+H2cIJgYjcJF9DVuMNb2QYC7ej
EDarlAbFJC6IlqRbku8ZjH176ayYpVfJrHyP9lunzEn/oiM7XFdvTMSXFYdAEAfy/V1WJOgQCIaP
gerNWz7ow2CJ4N61M4K2DpQolL/Y6m+N+rf1Mqu/d2l/hQv5uZDQaxfyrT/yB02ib72kfo1Rgywg
u6zLaBC94V+PhKtZTA53cRW8bIKLViJkugZ1Vs3W5W2c+32H+xeZC4qplGhtE/2K12ONYVbOUrIw
MB59GMzIzMyYCCoJ79onNZ7xBr92BO45iaVXGYnf44nA0AuuK0vD5r1l9CALSkSiwZ+VH46LdMad
/r0m8Gd652LI0GzZCmr2xmNw1AveuZ8V2+fZ1vfhuRnPOMhe2933Bn7yhM3sXe7mZ8I/rw3au1MQ
EkmzxyJC73PYT1VyXxv2M6Xd9zlc/FIFIBQ4wfvU5Fejr/vww0sIR973bfUMuvXaGg+SSYV1hoeK
vf0ECfYulxvkmSBAtDSgAY8pGV+w18c1GAXhqXzvxfQreGa3HJGWoduK4ryVBb6zYiLi7s/iufhf
xgxIPuVCkTuMis//ef3d+/6n3tKCqEelCKAA+7sr6X31kPdmH/6PbXlNZvHB0OgmUOnXffPWJM1L
jvt3x94/dZWFoIYIx2R4nO6yhz+yygRrqgLkldqgTtXl9Xm+mJVVKrC179q0YEgdWzFtiovKG7aU
U3VaT+EXZeDfO+afu7c0GMQ4QTQVKG8s7mhWTGvK1u83nAcdTSWNSE60UbxhMm5TG2jq/AsB/M9d
WAebobOPDUDhr5/a3uR08i+UDL/fHXjLjCH3JF5yncwmxT/+BwAA//8=</cx:binary>
              </cx:geoCache>
            </cx:geography>
          </cx:layoutPr>
        </cx:series>
      </cx:plotAreaRegion>
    </cx:plotArea>
    <cx:legend pos="r" align="min" overlay="0">
      <cx:txPr>
        <a:bodyPr spcFirstLastPara="1" vertOverflow="ellipsis" horzOverflow="overflow" wrap="square" lIns="0" tIns="0" rIns="0" bIns="0" anchor="ctr" anchorCtr="1"/>
        <a:lstStyle/>
        <a:p>
          <a:pPr algn="ctr" rtl="0">
            <a:defRPr/>
          </a:pPr>
          <a:endParaRPr lang="en-US" sz="900" b="0" i="0" u="none" strike="noStrike" baseline="0">
            <a:solidFill>
              <a:sysClr val="windowText" lastClr="000000">
                <a:lumMod val="65000"/>
                <a:lumOff val="35000"/>
              </a:sysClr>
            </a:solidFill>
            <a:latin typeface="Calibri" panose="020F0502020204030204"/>
          </a:endParaRPr>
        </a:p>
      </cx:txPr>
    </cx:legend>
  </cx:chart>
</cx:chartSpace>
</file>

<file path=xl/charts/chartEx5.xml><?xml version="1.0" encoding="utf-8"?>
<cx:chartSpace xmlns:a="http://schemas.openxmlformats.org/drawingml/2006/main" xmlns:r="http://schemas.openxmlformats.org/officeDocument/2006/relationships" xmlns:cx="http://schemas.microsoft.com/office/drawing/2014/chartex">
  <cx:chartData>
    <cx:data id="0">
      <cx:strDim type="entityId">
        <cx:lvl ptCount="33">
          <cx:pt idx="0">5293927752460664833</cx:pt>
          <cx:pt idx="1">5293928192342491139</cx:pt>
          <cx:pt idx="2">5293951599478046721</cx:pt>
          <cx:pt idx="3">5293950800597352449</cx:pt>
          <cx:pt idx="4">5293950806788145153</cx:pt>
          <cx:pt idx="5">5293953081107546113</cx:pt>
          <cx:pt idx="6">5293927382388834305</cx:pt>
          <cx:pt idx="7">5293949338379091969</cx:pt>
          <cx:pt idx="8">5293953144240209921</cx:pt>
          <cx:pt idx="9">5293952808779776001</cx:pt>
          <cx:pt idx="10">5293951900176089089</cx:pt>
          <cx:pt idx="11">5293927712916766721</cx:pt>
          <cx:pt idx="12">5293927654196510721</cx:pt>
          <cx:pt idx="13">5293953213093904388</cx:pt>
          <cx:pt idx="14">5293948341594357761</cx:pt>
          <cx:pt idx="15">5293949681557045249</cx:pt>
          <cx:pt idx="16">5293952870754811905</cx:pt>
          <cx:pt idx="17">5293927036509749249</cx:pt>
          <cx:pt idx="18">5293951640414453761</cx:pt>
          <cx:pt idx="19">5293953942449815553</cx:pt>
          <cx:pt idx="20">5293950146973794306</cx:pt>
          <cx:pt idx="21">5293949508332290049</cx:pt>
          <cx:pt idx="22">5293952843273732097</cx:pt>
          <cx:pt idx="23">5293927195540979713</cx:pt>
          <cx:pt idx="24">5293952979219513350</cx:pt>
          <cx:pt idx="25">5293949265565974529</cx:pt>
          <cx:pt idx="26">5293949940798586884</cx:pt>
          <cx:pt idx="27">5293951227460059137</cx:pt>
          <cx:pt idx="28">5293949699693215745</cx:pt>
          <cx:pt idx="29">5293953279816892417</cx:pt>
          <cx:pt idx="30">5293953317146198018</cx:pt>
          <cx:pt idx="31">5293953341959700483</cx:pt>
          <cx:pt idx="32">5293949906472402945</cx:pt>
        </cx:lvl>
      </cx:strDim>
      <cx:strDim type="cat">
        <cx:f>_xlchart.v6.18</cx:f>
        <cx:nf>_xlchart.v6.16</cx:nf>
      </cx:strDim>
      <cx:numDim type="colorVal">
        <cx:f>_xlchart.v6.19</cx:f>
        <cx:nf>_xlchart.v6.17</cx:nf>
      </cx:numDim>
    </cx:data>
  </cx:chartData>
  <cx:chart>
    <cx:title pos="t" align="ctr" overlay="0">
      <cx:tx>
        <cx:txData>
          <cx:v>Distribution des coûts sociaux due la marche($/km-personne)</cx:v>
        </cx:txData>
      </cx:tx>
      <cx:txPr>
        <a:bodyPr spcFirstLastPara="1" vertOverflow="ellipsis" horzOverflow="overflow" wrap="square" lIns="0" tIns="0" rIns="0" bIns="0" anchor="ctr" anchorCtr="1"/>
        <a:lstStyle/>
        <a:p>
          <a:pPr algn="ctr" rtl="0">
            <a:defRPr/>
          </a:pPr>
          <a:r>
            <a:rPr lang="en-US" sz="1400" b="0" i="0" u="none" strike="noStrike" baseline="0">
              <a:solidFill>
                <a:sysClr val="windowText" lastClr="000000">
                  <a:lumMod val="65000"/>
                  <a:lumOff val="35000"/>
                </a:sysClr>
              </a:solidFill>
              <a:latin typeface="Calibri" panose="020F0502020204030204"/>
            </a:rPr>
            <a:t>Distribution des coûts sociaux due la marche($/km-personne)</a:t>
          </a:r>
        </a:p>
      </cx:txPr>
    </cx:title>
    <cx:plotArea>
      <cx:plotAreaRegion>
        <cx:series layoutId="regionMap" uniqueId="{92AD5483-37B2-3349-B3A1-B52910A77745}">
          <cx:dataLabels pos="ctr">
            <cx:visibility seriesName="0" categoryName="0" value="1"/>
          </cx:dataLabels>
          <cx:dataId val="0"/>
          <cx:layoutPr>
            <cx:geography cultureLanguage="en-US" cultureRegion="CA" attribution="Powered by Bing">
              <cx:geoCache provider="{E9337A44-BEBE-4D9F-B70C-5C5E7DAFC167}">
                <cx:binary>5HpHkutI0uZVyt660QURENHW9S88ApIkKJNk5gZGMpnQWmM1d5hLzD3mJnOScVZXd79XXb8Ys9mM
jRHJJFQgEHC4fyL++pj+8siet+anKc+K9i+P6ZdvUddVf/n55/YRPfNb++c8fjRlW351f36U+c/l
11f8eP782dzGuAh/lkWJ/PyIbk33nL7921+xtfBZ8lt3M4su7uZ9/2zmw7Pts679D/f+Ozt/ev7a
zGmunr98y8rHLcNGv/221f385ZsqU4USSkWN6DIRZUrUbz/9/H1rvx3s33Js4hxn2bO5zf/rv/33
4y0uOmET411muLq7NQ/BnLpn0cZl8Z9e4nlru1++CbryZ9XQZEM0ZFlXFezGt5/G5993acQgVKSi
qmuSLtFvPxVl00W/fCMqnqUqsi7hAYqOPW7L/u87ZEUhFE+g2CyV/jGmuzKbw7L4xyj+tv5T0ee7
Eu+k/eWbRsRvP1V/O+4fY6PKhqyLqihpRJEJ7n/cDvjg8HDpT2LVqEIRFbGr9mxWrXjiaedXw56W
27ivrPFLTtxWg6xIWNFshhGKXXeaBkbM1Kms3IyYxgr++tQf5b6KAJcsAumeRFA+BxG6DoZL/NTe
NZUpIcwdJ25wqhOzInYzPg61AEGdQGCPha1eDfybYshOceouoZ36fc3asyDuhM6bIq5clYdmhzeJ
mNJjspoYjIi1rVXMR6nh8SGPNnPO8TuMmWywXjBzDYiXOoLCNG9D8TIym82F0xIEai8DTGuZdW7y
OZ9JBrMZ+nLNRtluM0eJQbEmHraQ7IpT5UrWnIH8Rbx4MbFX9cKCBqQSGpk31A711dA6+J3lDBci
e+VNmwFHlc7YiqxaeGjdWnga7tN0rhVOYzQQLtyYUp6LMC4fzXzB/XjgKJh6ZnXYQ2WNw9GfG2Ej
f1VuKTrEYLG+Egsbl7BfR4tVtW4JRurgzmiX+4aN1/31d9KZ6rVbY2fVa6JG2PkoALlc4TP2pWAb
h/tg5JIlsvqWZpdqABxDPKcPfLwn7AJ9vFotTNxW5CyXsAv1TentLl33Z/xSr+UNb2YU3Yp8KQ2v
3KzZSJZhl8q7JnsxPoP3ZjhLpTdlkGlAGxBLWAgkMVNVq7hrru7rB5LAPLKiA6JcqsKdE25UkHXm
gs+74Thm8jt5r+5P0nFRMdiYcBwDheSQxwqow2emfrT6uqICdKvqMjipXXVQCyofVkp2LTqTZlZC
GEmdfjAX0nA9svBSqbqLhgi04UTiM+kMqEvLSKBpGTXz0MmyqyKVLEjveb6A7mvCZ7Qc4uqtSU7Y
jn6YJ1stHOzU3L+ntiiAmgOuaW6SXZN+11xE4sthY+XCIVn4kjDVr0bJql2psGtqBwqLDmPEowO1
VU/3xMhUvQqiQ34yoF9TP3zmzHgP3g+5xpJt5lM73i2Vj2OXLabR24KNP22Nvin1GYelHiWYeV9g
8ERmnhIwMkvo7mn6FumrCkSrKsxAORcaxPFN+Qo1GcaJwnso7bSexQEGp2vAZPYy6F5ImICxGd/y
ReXUxm0ttTM/GGYmz5eRNzfB7tcV9uOaU5d+BjOPW9ZMXtquqsSu9LV2ICFE5Vrq+CIAGc5V2YNe
f+TZVasEJiWQhd5YLJworqjDHLCx82kF08iW/r00CtC7ihWhIwUhdIMZsEU3K2mVtmyYbHF6vI6V
VoGZd6B0PKC8kFZGb8n1pZvNi9RYi5c3vFwHPXSJi0twNLZlZok15gUeLr6wSclnOIAm8Sh1VFvI
eDObDb54fE0/lH3Ld4LGKzNV8IU2G2INhR8Tk8A0s2TkRsgNCbIMyhJIaIqPYYYiA2Ob3GpMS6AR
06BQnceGk2sBac4G4TW4pUvoW43vV2ROgV+63XlunepW5MfgIQoexkT2EfZXtT+oX5O0IRHXPSmD
ACr8M/DZTGd1jFkRs2lh5WlcRxPW2n4AUTvMQQqKEnIxxtf8tcz4MPtDHsDYbEbtEH4m4jabXvvD
z0izhrPunXumgAKVK1iRrfntal+wwJTvqdXY+VZ0KvYlcIEXLOSZTXnAyg5CxckvxXAadYiwodJq
RtYrxOlBKpgyVTAOAQQNK6cZxPRaDjHM5EPZBePDiEbYi2MC5DDJx7Z/RsplMM5Vwsfeyu/ywTBV
HosQblvpthRsSMzVkkC00WYunD5Dyfy1uP/8N5jxQ0l8lNXcxGH0G874x+q/ncocl7++zvnnxhdQ
+efaJU7j6vkZ335/1A8nYen97cIvfPPDyr+Ane8ByH91538N66gIDySqUl0UiaH8p1hH2Nya+Pkv
cOb3rXwHZyREJpJOqYKI4XdwRlQVomk61YwXZvkOzCiUqgZVFUPViSx/D2eIgUjGIDLiNJlq9P8E
zkgykf4AzygiAidZFlVV0fH+v8czdUSrMU2NyM3cyVKJGQpm5vam7Bn73ixc4dibyQCN4YaiO2RW
jOV4NoPclEcu4guMpylXzR7NZh3s56/rTEqITlG6nrDQr+k21KCSX4tOQbmWgpmcFot4dFtEN2qk
oLtKAkvCE1vd6a40Ar50y6GXzCJZiQlLJdZJK+HT8Ed9L0kWpkHtoKuvkj/xTob4kAWgNlyJD2nq
YiHGAqxOK2q43Vq/RoS1C8OCvjCRDesCX7b+Fg2MXtsbohWxxtXks1S8UHIX1TS86jSbFOi1Omkh
qLtlsvXh9EoTbBlOiU2IHWebSHBUxW+nB/avXyV2ZrcXfQRcQqvYjKtogmoji1A9E12FVOTDW+J1
m/xILsm+2ciXatO8Rft4O6/iY1zA6AgJjB1kT/quso4Z2A6mj96hbvJs71rCZB2oAq979ycByrv+
KZzyCz1NKhNnXidsDiGtItbFK4qn9U7C8L3vIyvTTdlPL7i7JhthRPwIWcIXBfRTgDAt4flFP9Ur
aZffJSxsbPaMDbGHa9K4L0yKlSIooNdYbQc84TVTnNisN7hh0b16AmVV2pmli5BxjaVebSdWZs1v
87P9oBUPK7ZEsGD5hvltuxggPue3eq/VEKtQVuzZstTcHnJW4qfYqk5XwiCzZfQF6dHJh6h2SMhk
s5taLrcQ62D0MwzSRcRKq2PDZQ7Tp2ySguNeyhFZU5aupNP9bt0F0FikMk2BZ9m/P43Pg/x+EBMY
AFSW4MOlBafzW3MIu5NmxFgat/rE1XOpmYYlE+b5s3sLmWKOrmE1kDhYgFwZmoMntMpZyx0MT/pp
hDWWw+0S7ozmmS631KEMsXlCFjDWnT+fqtKkgnYYCh6PIA1rqp4i2ZV5Be86K1Yd2CbeIn8T4Q1k
V/Ap03jNVTNnpxJENprbEMb33Eb4DDphYubqkh+2z1JEkLlpc4dK/jwekmYrIIa+PQX4+LgfdmvT
fzMP9+2HDtOpP4iF1chOB5GzvhhAvcWMHBxDhjEHC4tENgE+g80hddpD7Mg3AcRDGkK10nho66ZY
wcAuVWkjO2CZxEbClZTV+zQ/j3EIUyNBUVSQhjIIzsSLekvOqjU53Sl2VAtRpvv6H3gCtL583mw3
hCGMwb/Y+UjeZ5v2nh7jUa+NpxCw8IMA8UpjWoy3fSes242+bCpr2dStFgpecbJpvZEFniz4Yn6J
HQF0ky6QYCXVrJoyg7yrCMKHa9pZgyufRVOCkzut5nGPo5PbOQt4+BSYOyAGxuBI7SfZGVz3gxkZ
BijaIT2UflSB0HvFLnrvTqKGsbOslQFCyQkzF9fn2l9yttAE8oOseEVgtwijQbXyFhBxpKElGE5T
b5XcbQ/ScJVCn8qAp4TtuRnsUQP9hRNZkL0OjzO3+DQWVn1id2+4J+6s2uAFrqo5a2Le3LWdfK7k
HcZ7aY6+pFtaBxWTncwjq85u9uPRcMh6WDDEG2ghdxA70JQJl3FiIsHXdYF8r+ofTQRK6UrQ2gW5
nYTBGiNHS3dppmCewDC1VHoqI4f68VsmrAphFWts6JC78XTXushsmO4j5egClhOufWqfcuCMYYox
T1nMHi2yU3lmFAHeEEKcmO6805OaBcqOesIMSs3ywS6Tg9paNEdoeZRlwKXEmNBX+tcw8cbvCZsH
m3SmpIHwRQszjU1aY4rb0Ho3xUxfMBSduAK1WoX4LdsEn8/E8bx2YHHMqwMeNQdIenhFWeQUBY+c
qgUDL/RqoDoI9U4wrhkOZ2BLyLDY7JJ1v3sTYhaquCptDMewNEvmIl/M+qTFQAwnWWBeG5E5r7tq
pbeY/px5jegNP/OatlZwjTuHqCEUGA2E4Yogbep2HyKV7r0o3vQBRAXvmk8V3z7Zbnz8Tywiw5wc
0s/ptpxlmfc5i4xr33tBw6XWCluOmDbdIbpFiBp+DjXzyRUpRz2AutyfIo1xrPiQXWXdnCC1tY63
oRMTnx4SskU+ZUSb3Jx6Lz6MNUOKjCTfR66P1FexNK85qZZuyWZlETPjEljKanxiVbbCfbJdnOwY
e8V2fGvtaht7iRXwF2tUMAnrex2zsOIgCe0nr01s6lciIDeV+9CmSNSVhOWhVyd+X2K4cqG3dH+o
TIG1b/Ebki19hg7Ju/2eu6MbPLQr8l6zdGdLt9MBcnf60jfChmz1j3lLb/kISW+1/V4WrV0qrqQF
hHOesUDfzlv5KO2l/eQFxxd1ifzIF3uGSx9xA4wHWfzoIHzqJz2CdmZzxuMMqut8KFfER3acPfNj
slK/QsNrV4XZ2ZU9O/NKdw0fC3BiR5iCkRciS3MjW3XHEAym8mUnWD0zmOT2kEKCvyK7xgIcMGwy
2QSmWPL36UXueaqa3VmQrBbfWlt3BTfcBodoE9nCOnlDXPGRvfWOyiVX32GZH0ZG3dAKY0tJNJBq
yU4KU+9iPuVc5/VKR4aBGVOH+qQTPlmLhYTeeNza3m5na7TydWSwWeIZKHvFllSoFTZ5YcTzGJDj
aVscoprJxMxlUCOWCWazbINt4ncvQchMqZ3LvICuwtrm4hCKVrsekERLpspKnnPRifm8wpuwZvjy
jm/+7d00IF9f8FLCh3HM1/q++2pRxIkR4LnFbS5Bb0BDdui3ru4RK2RIhFi3IffcKq3akkSzy6Ga
uW4WToHFoIZNDSMiMtRs1mJqDRNzBJ5uhZ3AQ465jeuu+t4pIKyE1bRtHmEG+Rc+1UBnwYciXsVD
XDYQ5U4QWeLCR9lZktWU34KFay1kKb54ihOViFMwvbBqXbjRLuq97NSUb4WPhLmHjCHDrvZSBXSt
ib/y8M243PXYz+Ntb7wb2NHSXOKdikfEq1nfU4UrxllYLyPIqN8proSII7G10nst5n54r5DxTS+y
LGZMscmW2tRVkxXV1wEi7gQEAcvyvEqP6bas+HeE5Q8UTMn4EfEjn6CKQYgqGZqG/EF5kYvvET+d
jTFYBDFyS7M2RVtHMpuwLUURZQE5RTxzMpaN0tgkikBP3mvMSePOMFoeSdDrNSAWYc9dzVMWwwvC
5Z5acSO1g9TGI1Ahqj/kGsrJaTV/znxxEVm+2O3rzA8UZEHM/LS8y3IFWsnovWYRjjKnl5iaSsXl
p1gDGU1xYoXIcZGfDT7tzFbnc6Nv6GVJUUGllmqlfoNaZITlTVNMvUZNkw0Vi4oEpAi6LQIGjqjD
7s2Oj55uZivVDmJAIi3wGVP8FLlNm0MfrUXV0elaUawZka0yAXFqFCpEcym4ZHAD63sWb6Lca6pV
Utoo9UwTl8zFDEULfynxZshcI4BuP+EYsLm1aQ15a/fHt7xjYY9ogpWqm6FEzMotuSc4xgvvei62
TCudSbaaGpA0zIMlJLZO/CV5IOgPSk6xQcVVBqcgmKu92rBQtlHLN1nZViPTPyM75DNEpmaOqDbb
I2Cug1WAGUg8/MdRI1P9B574W9RoVH7FDorw1PgxaoRhqZKqIZHb9VCjhoxCqMLKM/nKD4b3kn4R
zYVO5Q5u4KWHZDfe5MKcccQ6p/ZzylSZR+oZQRlipxJL6DmrYG6xoPLmE6E8YB46NJ/J5zBA9I5f
PWro79Vn6gyfAqCEekTIORSv8Ip1NmERVPhoR4j38QV+QX8mmgKkyE5k2RLuachIyfT5WcmHAANv
4P2emAhUu+N07DQXo53giL8F5+QaZUx+a7bLKeuh3HfbeJU63faEyM6eU1u2UZCzkHlaEkZ+hJ9u
29vKerTb/WhXVroabQzGziXnPITgTK2ahSZSUB/lXC10MXnx3FFF1L8u0XUOmbqKCpg6CN61nfiu
ncTPvkJVHpKvNAZ0hV6KY9da1Y16EuJ0iel2joXRuI5ctZHIWvlpRLgU8UZ0jJ7VOVPLlWqw0nCi
CbXHBgMz/yj8ASXH7KDgCdlZA7sz8SfvWGa+qUgxJYaaFgKtquAGwrkzUiKjBNQ4s8PoYio2tQKS
lcJUb+QjR4SbsuqtvwjcuCBCRmUrxY0KE2yhhnn6ehX65k3veaIjcCoOAb5ne9V9hWdu5ZigDS4j
KsvXnXoaWkyUrO2BSo5YQG01Xr1DjYCFVmVj2qnN+phj68RpJgg7RnuuVbzwcC0gTtqvumHbTUxD
hj2xvDaL0RxmjwyWGFs5tbLI0d34GO0zghR8XikvYjtCnrBfX4n/20KY/SxfPln7/4QOJuvUkDSD
okyE7/+/7/mtnz8d+09h26Mv9wdC2I/NfCeEKbqsEuXlxmkiRefsO1/v5dDhdQ2R/F4KI9gnWaOG
oqHmpWPe+aezh04f0SgxZCJLLwHt7xrhDzImuqd/UBfRVax+7+spmN8kBd1D2dBQjfuhKorFEs0L
VsUW88iEivfndwP0B+1Lvy+8v9qqKhEVVVckSdFwBH68REaCUM+ogvDRrW9LNHI0bF5elOikccSq
6p14qFWd0XCiKrIBxDKYCdYiCw+VzCfB642KlbeXX3ZaSkD7qbyVN3VAPWUx0SBbejtFkmrc25ol
2QfxJHGnZ+3LpewzaHMeoYaROjkUeQktsollqyPaR0LbWmTkWoNQy7DDQzQfxS+8CjYZohGXc1l0
k10jIjBkigya6HS5JZ91RLOn+oDkdWh5oXAxtFLsqw7aTS0AU20U8ljjSWOqDiZK1cmpWe+3+io4
R4yuFF4eBrdQ1/Gq99sFzxp9jeWOhmwfJYNTMbAK9XUzmi0Figfy4Wmd+5gHUCJ7V9cKnz9KjWuy
rRrhy1Uc3lWFF48scJSb1u3pc253bWWfJdEaUL8orKJg+Hs5dhaxJ0uziadYhodiv8gCDSa3bUIQ
BiA3Qz0FpW3cUFrpDwbqlxX02FUBRYnByVEJcxEEmInVElicdN9uMt7a8otel3uUFO/be8uwwGEu
5MGbtJX34j5yjY9cWNeiHSWYctfhHQv6pYy3knHWERS/HBqkC3Qnl96Q8L2qMiKyKjEju0c1UGIV
uhk9SiP3aQnZ8t6/tDssxDJ6emdlRpDamYGf2IFJRnSiZMEMTH2LmNkjXuE2ru5ErgoaYiEKHd22
5mQhKGIqqDDg8F5TmPedJW3bBlQUc0roHsamueYZxOdsHfr6NtikZ6LCdCW2th+sqw5XbOz4IbOJ
E7Ruw9u1pMdKiQA1uiTioV/EoCJ4vr5Att2aaD3j+fVXb14z9Kvdqxqa2CGEL7094wggwp+u+KMp
Xy3gyf3Ih9Y0AhNF6SqGYk3wqM7LZAhmNs4w6rxUraFnk+7gSemtWtOjdA0XJhxbM3HJXt4L1qaz
0FFczawEZZu4aFg7KF+jqT3eUH/BiMYlMH5dct7HTOnMDqWZeIMiUhdAShkKSuLEs5iXoTUMtnxG
XSbsrLJFzQFQ/ireh52IA5iCmrI2hfGNtkzvoElZUUD7TAoIRiZJrHyWDKEKL5kEiiOtFifZhmaM
kVTbtR17Quwm59FK17EbSegEF3d516yMU3FJEy6gcHESFSxjvEWhebIbsllCyC6Kn+tm6qXmWLDs
0qHgl0M4mJO2l2aOthFuScgHwckBoHH8SiSTNizckF05/OomNxf0YSM+ILjk6duwQks3t+lrEyKL
X+XoyRGw2V9hyx2BS7ivn/E+9vIJsi2GecbrkM01qJcRfXmvTgG1JqED/d5OQDtU8uo36YLDkB3D
CYz39E1GimMOTuAODkqKdrzJWfw2GO9dvM0Kl5JNHTqam062wcNN+ET3OOi4Lr2hmoRpaYfAkWeH
1h0Wk7Tu2HvDLbi2iGK+jOt0llBoujYUVz0DiS4iGERJ3cKGs+pNoiuVK7Rmg8VPUcpR9lLOK3R4
d+qMkAhdd0Nl+gH7J0vWhFQOTeVeWqHmKSWsTFYDIrLlgAeMYLjaDl3shKMbj79VlLTQiEDBAv3L
JufSDER3FnGDq7gIqTd9UeQqKrTrUUxZ4i846UDG4xO/OmsUzYgNLf2AbpXFkTw0Q2X9Li1os8bI
s6xqU9mh1WmsrVErCTKsT1K4qdcNJvYY6N6Q19L8IV6NrZEx3Dh8oeaIr9mNKKwABTP5rn4piqZ8
RaUmf+suKNHgJIKe0w3qARfpqzHlh/pVLr62XRq0vMFoHNF4Ef91kV6U1EsW1gTHPtgE6iOWOVob
oxsqSFSzYhWgSS+YEfr5/RWtnq/CwHKySYNNZVIUlwcHda5sQd7Al3Nx6J1Kcr/C2AwSDKv0I0Lt
zUt39EtZ10BxGG3qoRym22gKH7XPEUlyxRTVgETYzS+nOvJxKPvOa+kMsbAJd4ldokmEDnfrjKt5
JbodtA/hIwO6aXnWWqgk6bawUTzJ02czbZ0ix0JixelHF27Q4+7EjdB0UDQNW+fqwxhXiVaxpEIh
s7PTNGEZ9al0EloUpJHTD401P9DGDnGehM4DRLmN0+NA40wTlJokru9R9sAamIHk4aid8UcimHJr
ShHDcaMq5NMqR2GIVmeleYgxGrdm7WIg4iwPBXMw3h1WNLPARnQ7RhkstGer5/WaPIKtgZY+oRC1
1iLZ+JAxpsRrdY5P5IGHhqdowW6Yebk2CkZ6mLKjpkPAsrdpQTcDVc4EUtZPftZAdkZXzVOx8dxd
I8V+F8lGpDwerMCkLzeuXWEpalfYp3xboxyg8E5EUdccG0tYp5jsUYepnoUt7MilRBOaB75CeDlY
e0MHuXDHO8KTfCvf0TocDLc+56JbULtE2TSzMg29exQisXo3gqdMR436erLG8PLFBIHGS0ZHcUfq
JZDkL30bihsdhbsBQUgxW+m5VEXog0uZuFHE1W2E5AUTjjozId61q5hsNRJaWFaD3qovqnIxDuNl
vqTbhhX78hh3rJ2fY+V0mMc8EVIr8tCwR1ku3ebbMWVHtbKCDue7+EvmyxWfkLc3pxiTR72nth4x
uWet/JqhM3KhCCHEhCI6r2k7Eb5zeuIu8r5d95rAZLlgZZzjwKWsxAJqppdebrh8kGWcAhB2u3mk
TE90sy0MU8brlE7v/CkuxcDIZhq5weBm85oUh7S79906RGUZ7VU9EyESPBkFPmJ2iQGlZC8IVrT+
Ni27LDrouttVp2BTLk6ZekEbmyS355lF4U1bNlFmGe0BC+2CwZt/afv6s0H7KYZ8h0r2gGLzcEYz
FxMjpsVyAIQZQoTBvFY88lBYjdOCihVOB1m8vt4X2mps3Cp7TR3BRK+tSrw9eT3QI9okCAoanL9F
b3ig/GhRmxRbU+l7nO5w1DKW5Dw46vsRbVWfuJVZma3Wrf5ktJmQhDk60+iNoGGDtpATbYd7ucH5
PRRLAYLa/KZcdYW9prLFzND58L4cpSP5ENDg2AYfZQZhzYoZo7avAUGEcNTQdEs5uQxv3XOuuKZ7
iWl0MG1Kq2PebTFfk4tyV/KSG+aFMgZ9M2+j+/ye3I01QW9utDA9zSrOaNujdoqpUtgMaKT9/84t
CZU1VdVwkgVBIvQddXpN/Phtmsbf5pMe4iH+n/+jeQqfz1bYNbcYJ1u0r9mkrymZT+HWT8Kpeeb3
7Nn+C/X8/VX+ST0JTv9UDYnIIkpX5EfqiRMf/jd7Z5LcOrat5+G4hQjURRc1wZqiKEodBEVJIAoC
BAgWwCA8CLc8AM/gTszfPulw5sl3/V7cxms47FAeHR2RRLGx99pr/cVKR1ZlRxSlGvXlnyoMS9Zk
6jjb5uOG+ZsKw1QoRh1NN3gPP/4rpSdaE4G5/q36pCbWNUPVZMe0ZPH6X1Sl5/zZXu3hkU96xSe8
Noea9bOuwMpZaYOrRk7mn3fphXx6PJqGOx4vM2MpvbB8nSxgklcnnx+Y4kK8YXXxuCczVjt3P4L6
34C2rWU3Q8gB+LbLTNc+B6MVn1tPYv2xtq97u0yI0Yg8btXLcD9cbpHCGyzoRTZMpBpRznqTCbWI
r9jGJV18jvpRVbdPNuuq3Sr7hhoT4ZCvXYPHT3EKEIvcxT/Qb0ZzC0hvWh5I21ND6Enk+oRo4esK
wkf2/jyLdzsUDDevkBLe5Sx5szyXHz6/avpZijbgrCb3dl5yu1nUV6HCTsg9miePk5L4P+NnXB4G
allNB1xE1EhsLGbKNbj7ze7xY575gc9Vz+njh9dy4lsd9YitqDvkIrT7il0naMnm0Bi06junSZtF
3nIbjbQqsojBUMuEwb4FerNKlXV38zJpZT2mzkUN2mLCe3nVsqP6FqljzLXcu4mIyvI5QN9iR2hJ
0K6OSihpC8Qlt0uwNmrBMSB1KZrZ7Qnwdd/x4rWN+I54m1Ly50I+UNSbLi/dEW5c8RALcph7+iM/
ISMpg9ADqsUS2UrToVcbe5/du5h0w6KTvuCQ0uB2Rz/QTRUYm2cK2TXc2llvIaZ7xIPjq48xuNhg
cRct1lvTrZ0fyJQ2eHh3NCN2Ghm9N0rA47MLgg0y5g2EyZ0kbZ+vu8/7Z966kCLTxyKHoL+7aIHY
C47KHqDCeSl3+aLa7kW9LR8ESPzZU07fqeeh28/Ut8D00jLb9LPLBNFD6zkOyqJswSNN16fVAONA
ikiaprrMlWfY+YY/6JHm3n3HXW6faOy8zzF3zR89cMIlFUiZnJO77T6+1W9Td/kFahUDKOT15Cl+
vbJCZyrPFdLwIwX+CXgC+YJGduF3K4cdcWYKvTaQ6K5btZtqxYB9qGZo1i+K326Kwv10UpjAcJyl
yTgTmqE0GsNnqBqM+Rj6aZTFgn94nsCYx2mW5Hxd55flmUKthyRZtuvJhQRECx9z/ft894ubey9C
+dWZOtCwaSR7t+De+vsPBCDocykDzxGFAYdKJ0hj+cf08sLhH1rYLZt1uW5eixfusXcpwgzJk7Up
UPkjyhFkWEfFv3pMe79aPqfWpov7eHJu3dv8EXE37yZCaQTkcf8lqvnBO6M8+fhE8hicQtt3j5Rw
Xh1bYheen16ydfWixQ51yFubOGGT3F75BTA81e4FeEd6UzMU7pXqWW/GG+r2KwXv221eh5Q/7uAJ
9OXuc/jU76bd232aBSVDNfqKfw74wIsxPcf9pJ844e3ViJ3wEuaJ8lkvpU/zW9miKjodbxskKkE3
KbZIyhF2vV83oRNeo3auQByWsebzfIPHr688zvl3GVyWw+vZ8khGqNcDhAKBSiFeBrdvbXoOTOaF
uPv94O0ddysFmbtFdHTJhbgIIt9VPZQxvEFAKK27Lfw8gB7yBXIF+SDmXf0uB1qYQ3coM4QiSKJM
bpj0lwlESjYjtWcBCNrCmHYv8ut9SU1/UA8WklqokgMalZkEMrdQAStssJo7z4L5nbsbCn3O1U36
u3ufMDqrW+ddFyhmQpRh7ufTJe6te6Rkc8W1puOkqIETKbzvKzRS+dQKn4wnl/acPCIT2czpq120
m2bTcrZ+Usbi8g0u+jlDiHNZKTOTtC3gdrjYclpO0+R6eKDp6SdIBSYZj+fOu5n5JmxeHN63dxQu
9YqrtxP0/6UayeSMLAoTLsg5ouzvCAkE2tPZKw9i02pj6uIcyaHqMb6MlMNiJmND3SN2MqgWxf0U
44e9oYVj6Y7FVlo2uwYxssAsUdWfb5/aKbifw1v7jY7vvX7XD/LBrtw6I+iV7uXqP8FIbcIkAsaJ
YcdzAlexahZMFXd0t86miVpvqR6MsJvY8DwVJR12ACUsNzX729krVLQUuAT46JnHco63GcqFykIK
5Lyqy1ShwGwoxo96BpjrIXFWIue1hDHaaPMxQgWZ5BNpPlItzcuZvqSs1pf6spypy1uYTZTINkpX
93XfCXLADt2t3DcTTODmjx4+DL6Ie0E91X0KT5/74bfij02NDInkidctT/eHlRGIn5COzVtK+qFA
4+PJy/G0tV7HxF4KjHGMJWQmlWcWhXeyClEbPqRw5GlculBeXq/BmAaQ91bdeE9pdpU+bsd8Bvxa
BfcpiNS98MZnYM6yOSDJONWmlzTsVK/9MN6q8LS0JzZQrhV0lyBXwpMS9OCpB06/yJSZqgWn3ZUb
tLwRyp8bQ3qBHoUrVupVGl8CIxgX7CjiK4H9CnQfioyMe4wMJOSMC9HFrRaCj2J3cvVMR5R2XH3D
CrpHtm2oM/A8DnyJn574MkX9/bwdWjb3lnc7+Rv3Z1heUQoVxM1+dbIO/jGqdzXWHOwV5VuRCmSh
t71ZM3v42ftAkT+iBnq/bputmkVVOXl2RwXvQn2aG+1OziI0OKcNADMTFgQEym8IgZ3c/P3Zh7J/
GPx6gaABEbqMimjwn4Hg08CTdne05NdJb7rXyTNQKcBvv17gkvanjRDA3Pwbj1M8ZJiCH84zIGMZ
Lf+seWNCfWVERnTetrN0iWEmeOcBBfryyofE4Z4BNfDMePjVolhI63SpdG6JXyH/AgWjGDt2OwAr
ypzFol7gj8jQWu373XkibkbAa/fD/fCsAzWnEMxXuTPpDqiZmu0FUUM0kGcushVM5KxGzHGKT3G+
6nfMMspFjk1lZmzQfVDjtbeoMEIqw5YRdaJ2ZqfJDWiQfXwAn9LW+rKZdTvQLMALfvsGHGUuz5N2
Yi8BSiojPKlJZ2N3mXEcajI+X+/s5TNhbbFV6yEzKbgnfSK/PI7tPpvJLwaz6QQA99LszZNbG+7w
5QDXLswvKtZoXKhbqwrGdT6x5sb6PMO6ED6T0wH8pjhUu9vemo9JvpXW3c4BHnnw2KSo3ALUHSiF
LyBewrHQngLAl+cPA3ue2Ef7WPKJdnaeaDzsftcByDSzy07eS3OgmJuLf2jLeMDQQCz3AbREwKNK
gCuGfbEgneA0zKPAWN/2HWlR4ypRPktja56+OIMnH88Tw+CJ6Ue1mDFQjOb6tADZ4tsE3MlY28ty
YkRgTDl/5RNnDlRmLsXpx8RcVjvxWeXh60eGUxmCR9i06wdLrQsyprXbzPgUm16gnbyWeZ+IVUTy
RMlruo+wY7UeU39jT9iEWGlvReWediiKJqxDICrW4RsBz1sdvzP3+1sEI4RZxY/FkhZHqF3nIH07
pGJ+HRNI4HcCeWl83MIHgaj1eVLX4xXw7CNn8oMTzHBzBbJ/u6PLE4JGChliOzDtiPbuIKbSyXRB
UTNw6giOeNkF4vURdntgUuA78eQ98m+uWywtI2LxeuL3hFjbfXcSXB6zC58w3dm78qP8qHvTXR21
Dcj/r0+/P4PLwkrEor0HJTYl9w3FHgsYKZQPm80dr7jExYJlpL7fAUr4YO5JXj6PVsQrEZ3F0U3x
uTeUt8gUgdq6gBHgClgsXo1kqnbzSTl7U7H7zC3v9KNEHWfDiPNiRHzO8bhwI3qEhGLqQ+5G3GHq
OhEWGUuEBvUWpcsyi06LVPHBhoGVlXPAXLtSAjpu3vnmSzm5CuiingK4SMoa3EY6B8B6GI5Ae4GG
VdcuPk4Liwt8+P0OKPuRRQ8uFEUd40eAUoklxKYFn2I+ohcTk/0Rio2s/ql25UTx3tFAIex6+BYz
/OYPVoylxxELRFw3mgvN40q3rBtrXe2kuTXXPvKZxpstlg4eIe4LieaVQz2w5OD4OrB7vTD9eAb2
seLytGQIHYGvMuW7Hya7vD9LCecwoYFab0R/t9HRSvS7Z/AMBr/5MkPU1m+rFRQZk2OVhm9Y5ZBF
WImTtBM4hD3XY0R3HizKzHjAYXZHgYifMmnZsY7vxQJN3aMKGRNnXe+0yHypdlcCzr6RV4CARXes
sRKwYJsVwLKYCMWECJGSLJDBzUWAEvs3fKH3DMSEYtYt5NBQt+nyWrwWVNYcBhJArNS7p0RH0MSk
V6CL2NyYSd3u4i4Kobto3eyl9hLwrYCUill0cYvDO+JacP+K78AHPyQc5CI3l5MTd/lZwhiGoZCx
7Fl2Yo6CsXE5DHv0mKnhafP8FQRmdy8lHjjzYgdCJx8Fn/AIByKVw/x7hPdEwvjoET7JjGNKcAi0
oESFnQX2SzODpnGlCBlJOxFrJGdGHsoJmSQ74hgUsVjNQIj9ztYOZTMpoHq/Hen79vzSshK8Gb3c
OE4rdeoUK6sJH6OfQtqmxrwwFTcDbH5+VWpIueoaj3NYPLgr+IKHl2VEjwuKERQfN7fT/dNH2r0V
Q3TP2OndFsk7bqk4baOSFJlaeAFiP/r/KZDd/1W+KFRgCCIcA02EgQ/639WDrKpD/324sZtgAd80
w6H6N+gcwN9vx/sTnTMMzqNYYF+/4LTfhCHCs+Qoqo0kRbid/oLOGbpiKramW4owUPHSn8IQQ0ZO
gp8Je5WlILT4F4QhuiykbX8D5wxN1oVuEle8Yv8NnHOyR59VCji8ObidUF18WDdP/2nJ0M9+uTEa
xI7+ZQzPT3KzxLm8qwjcbV/aV1/2T3vfPEw3ix1KmxUWav42zK+KPC33nG5+05JHFZvausgWKCty
B6cRoDU2WzkWOH7YUneIr3ah2fEdkGGYtgsZumihqa7O8sKFvdNCOVCDPC7jcTIsFF93PErAz9sG
PGaq+PgH7Artu2+174WKH10Bw9nIqIrZyFFB+v0Efvtc+0Pu8RK+DVRho4dqT1J9xHpVCmND0J+2
V/fkxABJvOukri5AGnfPrgNkfRSOoCQ6ShQ14oNgLCrSSFcqZ5nj3Uyh52uklxPnGsPsvrmpUUEi
JFQd2AWGlWZu72qcYTKC3T4d21LCD1PfwlPqKRutTioLUYhrayv1RMiNjwgKrz9X3oULIluNXrbK
52UEqQkYNF6is4zxXo1zvPIh9RXDl/nd4LVm3MOWZeTVY9T6MsLTn47MAu3ZuDo1Kw38Zoc5tXv4
p4Mot6h+upC9sUIc0M6zLSkUaYg5ldIgcyKZwIY22z6y8QxYwblLdq1xcQ9OD7oDhNJaLtn0rAda
mti2YnNPVn+DNL5452vc7ayI+OuPlwGs0c23FUJ0RIq2V7IZL6GQyM7sLGAXfyprh5z0Eeo97BOa
+niUZtnEwLbv1lB13UxGU/DR48g1XEaNkklGUfh56dxxLdXJaQcWOsuyYIxIwPLZqt2TaQ2Z3yeP
4/0cSPOnoJrhJmU9GHTI36WRvukO2yJbfSCru/QF/4Ds6sprSYsC1NroEtjxmvYN+/L56p3Lxr+z
YTdG7muQ4eBtNhlGdbr4Le6xAO0q79Xez1v8x0jX6yZMB5zcsp57+rC54HeQ0k2DXU2bSFs+gusu
sraAfoCM9uP19Nq9ph5oqbmAzjN6n2u4FAs80Sqae+SHCn4DDg0JaS+6IuqpDwj6WmyeXTTZvwT8
WOP8HJavWXbR/fW8PCXlyxDnyMnzMPfv3+rUgwb066DB8qEFeBA3Ij9oEaPi05nhmPlpUCqsnCqp
glKf5TiY9KW9OemLLou5pgIJrmIFN5zwQABYMr708fM/ZZv5v0l1SGjHforzFArm31UdLm89xA/7
yz/ZWX4/xl92FhsTrW3RxkTTf7UF+YvkUEVpaNqaIhtoDn/jfQyVFyzZ+t8NSH7bWdBAsx+hnv8X
dxYkjr/tLH+IqmHF6HViCxZJ/5vo8CRfu1SVsxzSxbeHOQRz0LhnTGdw5/gvZ+1GoIHkQT/F1+1w
BokgDB/LRT+ThhCYnQ4acJ+nFEmfaK5RrMzkOaOgPFAjr+4gqGowAvmNCMDAywIBqlEyu4Wx0fuU
zzmRFNqeFF58YWo/TYZE5qsGDJM9LaQJA8pqEHNXfOHu9E9hE5mkaQ0nD3PdTSdSgDZoxAeqTbcC
xsPu6WthFqcRMOlB/cmmNPYAzLe3aQjy3EbZqz7RFjo1oNo9AmhbvEjlojYCaDGvr+PreiznDZ0l
iBE9jTxO5/3NgS8K8ae00Zl44hBXauKLbngXos2DqFMTfeor1svo0r41xKXO3uI3GjRXViAmOmzM
/TR9yV6loJFik6SSQgVlgNEkSHm0JjG0yfc9X/aND7qRuu6NNS8aOJwU2JaVKUmhcN5kZ3CVPrDp
CoCp5sKPJwPdX3SmVJVDApDVVx5NHpByUKbeZvfzS5O677PLgkrSPahXIcaZyQCc0kodNr3o1MAf
1bphA9wyFvQjCGquaHAwuwliOukfByAVeh8MZ3d8r9gVP+9AQSYFkv8O6HTGTbg6qZGVsgu3C+uj
uM2QB5iXOSonQpKhvGtl8CxiVNfp2VvcZmmTXG8bc5jbiHcav+De6usEswrC/EthhZ8tQsdywdSi
YUqjz++3xem16pfmAp4KyzOhbWj8voj4oYgIfDeSboXqw4ovbHqda9P9Y5tpE4wTk5oNGKyTbbGs
vQK94Q7ZuTW4wBbYma/TjCB8funm0uQ2lRf1vjvqc3s+JNkB7eF9/0i60FplL/ny+jY+hA/a0lxk
PtbEjITgT1uOK2vrrJB7l+7Zr9bnk6tjPytd9c15hwxrP2P2qz/YNYdye9xr72V4Du/R/+thmQ5H
mmkQkeHURdz6d5L///KP/1rhLM7HQ/cFUf+rC9S3FH3XLJl//Pf7v22V8Pdj/xmubVJ2XTFk0fZJ
JRr+Ga0dRZMt2bRskc//ztIbYuOAM5dVUzMtsvM/o7VOEMesIqO3tqDx/5U6QNGd351TlC+ao9IS
SzVNm2JEN4VH5i8svVlmVWWWBSxvsxgSJKtCORPALmteB8giPVw56p4LmnMEPZ1FntfghP6wnRAV
HDzdZZQ9vccDQVzegGjnAb4p6+KHzgX/c6hdEfe5j+rlPHr1KVBuXtl6Iu3GOJ0Fw91/dmvrOb37
54OMZQMZjyo47wt2PzLGwyMwxzi7LDLgeUyHh4cSwdQaZKvHUl2zVxS3CIUUh+mTMVQTHVVS9AD1
PgUP29NBpY0Q2rUDRaHgByXd0laBFgJNG3KQ/iT04bxLJ1flsoboKbvX12c/Vb8tFdwtAwlSBmp0
gMNIelVfUMtM9Pf+bbx6wqdz+rrP7jM2JtiV00qDCqONlK9GqIN7H752uHj25ZIoF+8aIL1rA+PF
4hUhfhfumxErF2ZHSKWF4FYzKK3+S7n6GWSXhVvHYN8g22R7Oi2He9BPyzkm0/oNegC2c2pPKFmh
Iaf18rzuilDIb8lZQTpdGB5lazPwT4g8KqipM7VK/GXWtO/Z+0Yf95CLzwiGrCrgxjh5XBN+2qAP
VXTN9SSNbPpf2POn4ueWn+/MbtMrvmy4N/jHy4QvxBfZ4oKIHp+4jBUeipxLuOAjuoQQdKZX+VKb
oDbb4eLP0KMnCA2rr35r/yiqSzsqFTz4GsoqW7OJI+keVmidkcilSnKZlYuHyBoWo5B5VLN6Jq/1
9VmJ6OTRz0RlKHv7DnJakIm0K4Cr5DbZDejydY6lN1ICCFgIWx/IyTUC2iIJqreMAHrjJzs77DlG
vRp2VnCaNabgZ2zSrgmck+MhA/X2Of0DbF+TPWczkmHkvPMiTsyphfKaKg22FwvQxKaJBDOP5EL3
NN/iPcQVt8Dx6WDtt2asjhSbPn8KcNRnfPbqtxwhJKLlwf9u0VGjMV05mwuJeqQClitB+p6tm+h5
SZ7xfWquzHfUu9bZ7bA8T6rPkWwKGjsPtk/3iKiCNQuubn0IkHrpuBZXr164yIHZqLlN0ARkBZC9
KtTjOFN/FJaKnCBOuLofZiLGrNiXiUSbBkNmuB6rBo0omu3K8i/pyvKyCAlbLE9UPIhGcIlPLBPU
2G8aSRzpU49R2nU8+eK2NVCv2qxT2T990rqAf9MWS2GSgcEV2gckIoruQqdnVtLTcUzb9KgWGGVL
mGRvt1hZXKbD+8PwEBfCzokOXNQ51B0Ivv2RB/JN3a25FH127537SMVJFZSQhbq/KlHD5xO8+8DY
1Q6o8hGOoM46JAGAuoL+/iD6Q4wCQb2BmX+vOmpE8zj44pcX6UUJcNEvXynf+X09xmOkLToWXZY0
UYNFYrW5BFqEOPZK+c0tOR48/7pC/siLPQ8q520SqGgN88bdgBPQPYugKKi+I1ByYoDzIjkEi4Sc
KybFDgzw2LsSjRusTe7NZo8QsoLU0r2Fes3zoMWeu3gpQ1TfOXJJd9X/oWMniQT5Ho6pM+9A21Ma
SgFlQy3V7gFyaN17eiiBekMnLJAbK668zGZ1bH9lqKTpJ4afPs4SlBeBFFw+8dOI51hG3OurGMs8
uk+doIsv0xv9+upkjO5AvaYvMdZHyJ5ASYY9mmpQe8piHG6ohayA1ETTUCvfpjkZkD614woOrQV0
FkxWho8TXL1j/jyFbF/QwSDZ/vWFbJYea0SDpfx5Xhqo/nEZBHVAV6sNXEAzuSzk2WMrZV4F3NpM
momMzVqPL5Ea92spuW7VmXr1L3TtoPGA5mk/MpWuAL2BH9Q15A8gcjoswNeLBb0RNmpIf50ELmY9
Gvurn4YOw8BzwFEIB+5hHbgjf1c2DmF0/Xb1ncqnRp/cSBJX6svpx4TCFVr/0vvmQN59QyKPr/G8
HQhZs2pgfqHfYvuga5iB4JuObBPZNxKdDoZ0IQMiEUSowhUAwgRVcp9bppfY09R2q7i8nZIns4hW
EZCGoh3C+bLsr2FBg5McGsRXhOYegS7y1YLWYdXhIiwtBZ13Sicc1Mr9XO7v/k5zH3zFJzcBaqmX
eT1VK+wxV2Nqmzg/3AaQ5jgkqNMQ1ZnNQm0Gd9yjLrWWFu1CvIzOgmrCdxXu7WASfhlHLK1sZrCu
6UquVw+vP5pzZVkypSG6UMCF18zlv/49f2stkDx3iKT4HmZhSuseArEUy+prwd5jeqqZXJF8abF8
W53KAOC8ip7FUZoY93mFzRXgHRDEedeou7BxXILG/NDlzwc+HIv8vIlHvSUt3zTnffHATzzn+3Bl
U0YObkethQU044bINB7ZvCeJfxBhfu5WjNbtVkyM06btNyfoWSXS4MvZTZrADooI+1H9Xc8zi3Bw
/zFvKxtE6iULq+/H2yOuPbB5YDhkbR4w/ONNXDcI/Se/AcZ/o10BKL9W7K4N7LG+FH1vRE1Fr0Do
PMKADrUJBtXMpLmCcr+cOGt44dkInWhFogC6wKEJ3a7mvdfuG9w70xJy7Dii7hexC4olcSCXmCsL
Z/3wzxCLggYUZGafXOIO6/A4pYtIIiLmE8sLOx/TcLURfKboxIN7wD0KaUa6lQ6/RBqzNJThEd/o
hMn7M6a2viJSxOXcRqQhlAuosAlFtF3xiHi4fQRZilv+FwEnw401q1P8mkIWVu5KEJVtBbUiNAH0
muQ7mslA/Azd4x0OrSCGew9DSqyJVkHhjcjnC+oYCmvf7QZpr2xHpEsOjU48koMkXZPPtTtk30Eb
pwF9L6ddRO0aUqyJLe4HnQf2t7vfBqLoR09DtnUhB7vGdoDByL0G+MFM02cN3DzL/3k93DjlO60g
fwicsHpcLIuVjWAhfMRQUGShpgtbKrTTGIt5FQXYZvD1kF5IATpEkjpraSL8Kt2vlzws/Q7eSlCC
gjBSYOnw3njKD1Zlwj++QpqLmHg4AIgTZDO/OiI9VtcQIKCZtbMb0pC7EEW1ZCAijcOGwThLntCC
bPCv+Z8CL1c9kbDR0AS4wKcng0+qxaNTJ87H29vF6xjU1D28/jzo25F6kk+fGA83Qdh5Kijgy+C+
8nE2uH5R0QbGSZhlOt1gngfI+ic1/m2m7zWhraH2P/26W5hi6OYrtOiduaeG2df7+x9EdBfcaMjB
3cDkOvOeje+bzaHfCRUApKB3/UV9IulJtCRdCgW6BSGp/JrRQuzzLiYveQQTC/66C46ClRf8PNp4
tvTK5QSiyQnDx/CIkCmIZzGapwMZNtd0Z5Q5Cl0HQvMollcXmG6aK4vHgD3igtRK90v0cMSMh/FH
dfxby8C/ds1Vfy+cBM4lwDfF0hXF4W/B1fy1cEpT+Xwxn2zjZzIu+EH3c3Qxy/u/hDtQm68vLz8/
u9v/d2irApU0dJtxlCmP/89FufeP/9H/IaFffOfZtxDQLxrgU8nHjI60Xoq6f/y3478tzbE+/3aG
P0tzw9EBKB2FttA67Qz/WpubFhgmDJyFxv9X2f6ngp6HDblnyrKtyfLfzNsG5TyFO3cC/Kv/S7X5
7xPsV2XONekG7Uyo86nTf59ginPNbtZ4ySePKkDSaB1bKOSNGTpaop7D/J7odfKX4fwnfm5c6Bzz
T1rwf4G3+NLphqGpJif//ZxtXlvKSUlPk73QtwOezaSX5/6J0sdaFB46boXyVKHuf5U8y3KV5wtp
A9RH1czMc/Cre8YAtPfT7pR9ebAc4cmWUB8OoU7SgomUSP6TL27YZM81vh1QVPAveuEgeScVKYDQ
UKSlrpnc+6B8HizzeNJ25ydgrjk1aLcIfQNZPwTCe0XCT6ZzmfGD5SJuxyNLrUqbBWyebBdjnFa+
9svX9UAu91MM4QCWVmB9e+avRr28IhikppQMWuihxy7N6a352lvFFbW+IN3mehde2nk7fKCSBwyx
hdowuMw6at96QqdIYwivgbEU1oXyh9Q3GafPaR8DxGbflynQyKYld33SoUxNUIk6y8sQjm/3dm3d
HbALj2TK+Mp3soepDBHkjHaVV/dAvyagRYTj+NWLD1T4qOdrtLuKQ/HabaV9e/YNlU7FLqzemGjR
O/tMomKmfh/lbVfGURah5uunExpT6e9k993jSwrMlfjTTxUGnP2cnJxImrEn1W8W9k8TsjFnzx/j
p7tJtQWIrU3Hn4CbAUTOWre2Z+etFiG66HHt4hxH8/gJ7Ix9C8ADcPqKvIGcI/X6NqJefT6PtyKS
KX79U8OW6l8RWwoc+Ekd3r31U4q6YbWSJ+Nap9vrHcdvAIZEjznHdY/DFxWh6etfFFoPzX2iPR2W
8H6v1/1sRDKGyRuVFI4u+gF05Jk4KLBtMRcj86j6IMj0Dbkc+l25ZbOrErInxDe0gEqXqIfgBIcj
Pd8ZZgbxBYBGiRqaV6FbRVEHg+o4q+72qj6p1mIKl3w2Vr5FIZzShdfv0JEqvmN5yvPjgaifLpOU
+zQUpzfkWn9B+XW8tWznz4Y9GMqygm1YD0fhCjuQ8al0dxPlKX5Go0yak49Sp2zeuSa0gG03Qc2K
QbP7QURXK1FL5rrnrYhxhCwOre9lBfKMHKqREtFjDFHtNci39wAva6n68Ai8nAaUBrD6k3d7b7I6
aC1tqvR7e5JLIruhbzCMX8Q7OOYQsmmlS0SjDp2SewURLuOqoKDaUqsKFR8FyED/5xkZ3M07b0G7
3WaL2CdHksVB0a/SquXdozypkCBRmlwBeHh3yxXQcQY7792NSF75j1/hFY6ciAusqNUaukdSQoGw
9ZaPRk8/MjLqUSUjj2SsgO7Z/qDf3f20rseJDiJ/jVOPjmUA7UW0BtiwsFlGtXGanl7pKg1ohE+d
/sQnDOSPpvfKq/pRFdHTCrTJzvh6EGp6TLCR1bwqMD5ZQTOGCPdJ9R9kB/+UBLM09gebvQWxye9x
1KqvD/vZ5fmkvrz3V7wJdKBF/DC80cf0PziVzrbyT4K2ZVrgwbas2vbfTqbepLt0fnAyzf5EzoGj
BC9qqkRDIB3hO3Cl0kL93vlX2mIXEO2Czy3VQ0+pT2Yc01aZvGVTz+krEyyeWHID5au3JsVMwsIN
qx+C3va0Olqd5Vi1vZ6Wk3LclTObfhM04qCv1SCMiwOzdVfYSA9q7+tpU3g4rzc5Fq7O51u+sI6j
MLvQHd6ZXO5zes7RzZmGENc4X5ycSLklcjkROT+HYqNp3nTAl8/yM2Mlccm0PXfNd3uS+n/UKNQh
dBqY0AVSzU23hUBp0UISzzrEAmmUy7HGfLIqz/5I13W6fFYhGww2rTQNKAfttbm+gTkQAuFYZrnt
PQnJE+vFoBcTYn2f6B+VRihzU678k0ouvSDT1Xlu0O4aGK4mTC2Lx66+WhP5GUUr4f04Y599T7Hw
XAILow1Ct9Unqjf3WtOAA0l6lbC34PyvrmYoWclZa91vrPaVMSdS08/wabJV4PspAyFHpddhKRog
EkXhtPgBvz7x1lqc6ef0ykpipSHWtuhwOutI+unYHF7LWVFOJC0N/zC4yvlGahKit7NoFn/0P8FS
CrNqtVvaChd2/GhO7sXc9FpcmoMHLmvhTKNrikUxCvjg3EL5HcCR/wMAD+8kHQBs0yJACBA0BPMR
cq8vthps3w3WT/zRhg1+4X7XV7EC6s8+ACqevvS0kGIhp2jj4/4tNShtHumG3sk4rF/TreH4F2r8
7Gv0O+VgNUFpfmNLbo8SLfONzenzRuESm1vtVahlnZ9q89xd5UW16QuYQ/7HCNdJdvess0+4uz8t
74b07kEhBnNJh3Rk4d6i3lDqSPMWGfZ1VrtNHlq025tINCEEWKFVMnJmoSDsTP81X9khhPU8tj3H
v7mIMDroWzqQ0Kn+qgTwb+3baY5hTU+nyh4RyYM9klrrVQOz8MzXhwjBwK8STU/oZ1LtnRMNErHz
p1WgHNGBtG9Dvyh/yUaMlbk4f0rb9XV6CkSXBuZk6ms08TBvYUrTxQKhNtJCxJs0xSKT2NRo2LGl
4DcEK1yYrO//Sd557jiObVn6VeYFCNCbPwOMaOS9QlLEH0HhaESKXiT19POdrL6dVVm3a7oGaKBN
ZVYiM4xCjvucs/da37LBxMUjCxF8Kt4D/I52l49wc/lojj6IBLN1XVGRVY+/caYF9S8aCeQPxMbS
3MmXeWa8KYnPFLSeM4CHLcV5tASV+PAfOu+8UaLthT9PxTZ5NDZKmIz+eu9piEHTr1tP22Ivrurs
n5lH/bFkqlZu6I9bjlC6cOkoWeUZx3NqTTOcRYL/4Mb5UZowfKq8guW3cdv7SKXPOmuSEax48PLJ
BqoQ9sBTetAA1ViPY5GCZHm9YVD8rib2Ip1XtEifS1hn5axSjmZ8ZB4vyS4dUhVQGuTr9k2jeSwd
HubKfswVln/MfjKtD+iQf/2AzX9Wtn//gMUT8rvJW9aUvVOm7O816GA4BLTHiQfdF5O8XCRQfMY6
grh4Ij+kUcL0H5eWsHdxzsS6uVAiPy9ZsqUz+mhcBrzPFjmdELiHzAl2Tx+UyDlD5j9DhdRdXuoP
WfuYFG83ZmE0wBs3bqdaLmYIa/Hf8m2Zj5bpNP5+5Iu/fpz/r9dVHDl+9zCjh6MoT4nXNW7tEZiK
VzYqTTy+4Jz66x+k/THG5rfDy++f0F8OTI+HYz2HnCdUqs/QfSvqREKPnglKhy12hJ2TP004Lbvx
F7qE5IU9jmdt7GxU0ptELADPDsn1CCgqH1Bo8t7/Y07v/5UEtVi8bcVA4ooH/q9n6v/nnuTtn2RO
v37/7w7nGgdwg9YKiQHCjf67wbkpw0aTAav9Q1v783BuarRjLBk1k2PbKm+2n4Nzsgc4RaPJ1UVo
wd/KTNJ1RvB/Klcms3NFxmRvyNYvbza+9mI/bxmnc5xA1O0DmwSAZ2BYtIX+XbUwLGbldXgAbh0z
aNOZuom5rbXj2FNNQjV4JIeQZVZC6ON3LCDH3pNiggL4+ku0bhOBZYWzCeSTSRdbIH+279gVGZHX
CHM7/lNqAyE2u2wla/v4iYoVeiGMNWnP/NjGj1uBRmJMuH1CuG/HDEnd936rAfmyXJio9hdUUbSr
SHSMlh3ywpg+mHgY03sybiG733D5vjgf2YgtX+s/T+aUh8HwMHXRz7waCFaksb5jG2dMLzRLL6P6
Gq6Yi34woDU4CSTYemeNLnbrD43Dn6dqQWus8nRj3ZZ3fgAM5yHDQXGZYGdXFsQQxfhA6E9HEyjN
7ANODW4Z1bvQ9qB7+Rx1V5TFDvD58yVelMPKnA6witi50H2rgyDoVh3nRxrKLmN++CAr+QhvdyWJ
Me4uXj5Fy8AjdmbFCBNY6fxySJuRwzh4FDW+8EKG0fIZsBdt/TpcZsprLo/tlzoVfWTO/P28LRxm
F8C5LTxbyLdqjWJ9Nydh+MXwbCxavM1cgurBeNZYki1UsG84McxZxrPbl7O7ienbNB6rU8AgnfZY
hHbEYFe1FpGlTdWo8+pW7tFLuM1wHxmJM8afE74omA7ZEXKm9Wwbe+VHrTHrmtzpijwZmOsfKSBe
L4JbE3BVfKj6TLoBmGenfpvIKHRtZBvKWD4zCbvEtBxgX9/HcXRtkczhN5b8mqlyOEv1VWm8pWkI
tlO+4QUy3DEaXokhA3aeBxJb5U3FkJQo464ZZ9XZeksfjMYvM3rF4XRQ3BfQRUE3T5c0nvnGt/So
suXew2xuAxNqzwDk1FXxR5XIkRF78OLXYO1BzdCoTrfN9o7FzUWGq+9u+Szl7Kmhj2J536SZs+zv
9NZX7KjS/Cph+Xi1Fhw/2WlpKL0YP/uWJ5S3ydJkDFkgNUOOZmyIqZGkKRsEO8RB7SVfTo1v8pWg
IR2F7cD7UAI/F83rT80fSH2okSqok7rZXIBr6cjMd92oeVE+pSmJTe8a1pRt/H2MUWTfAcjlgWwj
9qK/EX21p3YezZKeDhOdiNl9XA3jtDn3j6AewCuMtaBoXxsYt54NsoCB0aN2o+X98pUy9rFHzA+T
HSed7DK3MKS2WIboZwAT4HIXJ61KZZaoL7tZtIw/80MGFI9cHDUcWZ/lu5Jg2mXHdrsFPxbV/8lE
UI7kwFEsuCT6Xy9YXp6myL9+QFvWVYYTpP/T8mX8cms/ly8O5KwOOpvZPwX+sVVBb2uZ/1jYfq5e
tI+JLzNNw/oR+vf71Us3SbNhZ6zTC6ZZ/XdayzQg/rB6/YvqS5fxmhjgWVhm/7gpU4xHnfWKI/ae
W5qScaXvOT8Y6+7JmFQr5DmyI9t90hVFB3anMYl8l26ovT3rwzoE4DnL5RKYA+eOoJv1QSczbYWL
aNkbWa9nXNnQ3V64ENLeBamVIJPwBG73Kw6G+f0rpVbdR5K+omjcX8iLwfTUXkjZoKVpXMM74yMC
IyLtUIbL2g+smpMJo91D9XlvuUejW7h8cnSxPPCLN9qIwqMbZPU77WFzfEc1HLOs4gULBkCV6hYb
C3Ky20T5oFMRYdBPpw+AG9qdUWgzuPBOOiRgYT8aeBStf7ntZdQGd5q09uCCfQRCBQZFAwvaq0iR
+6DFVncToJo+EDxIOgH9nkZ57TN37oM7EqzaWSk6Rycfgg1sG75UFwqmbw3Z8b44h9/FObfZkQ75
Z1vflg6LSlVN+vRcGTjZJBAOJNMFdBH6ctzed7s0G+PPKKfJTrnNcMA9kPzgfOfAGq11ZZ6oh7w+
Sw8UPE+613OtHKf6NJZ6qltA6p+Oqgu+5WXZoN+LPKCRM62bo8QTVhs6hm51YI9RCb2HJBEbd+iu
UBlvjOviA70zY9ZQv/OIcuO15JFM8S/eX0OWoVu+HsyOuWk2TRsL0ibNaIN+UdUwpjPnuND7mVBL
lMnCbvDR7czHRB5WWl3t1fgl45lqeZPV4wZbiPqFry9HsYafFrc3tgabcXT+8sST0HG3IcyQ6JIT
HchfJ/kwq/X9DRwCS374lnjhbZzTQp6Jz55gevgw8CdId7AXio/ly9J0Ufglqp84QVKNudnnexji
KmIrIm4u2XPb4VvM7ZQ/TMu94mI0vXQnljGgchGHbDRh+6GMgoShACFAFkxqY1QgbL8zCMQQc1/L
zuj5JNauZnpJr1m5nJz7RnVQFNFzAJwSBar63Xek6SDUmnTvxYvV3DZAt9QPAbyTtgneW9ycFZpi
F8DBcBaGUVIcGfpjekSyRFYdUKLSLSyv5Ak06c6uL1APZqDEBzqg5/QoPzePfHUDoCb+5/P2sAqH
u1t902QW9ypizmringcFe/8CHXCb3thvZt4ehTr38+YqeBK5Hr9Zz9IiUBmBn0yTnI9X2tbGqQRq
/45gm2s6V/2MaLvbxN4iL/HFPL4dfX8TnvBqj2qaFahTImazp00G8maEMdzkQDaHkNb4SU2CRL8f
NDp4F3o4WYLOeRI38zJvlg1Xx6ThKrZpPQVxpox0WsGlhuZ8juZi4JnLCu+C1r4ZxtHWxq3GPjpp
m9+WwH9z0quLkd4ve31GvcSzwsyiv0oF/mO1ZKtfRjItr6ltoDEL/vPXzGfrePK2OF/QRr6h2o2/
6aXAPnp8JAwejuU3AqCapi3VEJM9FQwgwWipoQU6U1GZnIVgKv8HF1K5WSePIIoDiawfrAYTkrXa
eGxGgIFCocl8Tu5x0EMDQ+nJhGZsLrW1haK5AhaIXrUJsiMLZ3OO8LKJLJVonKrER779vsh2YHR+
1tiSyQAFAbklAUK+9SIdtWKcMICzEd6hh0D6gCtPlN3E8C7RriWfYm/d9q8IcZTG7WvNbyBjhNM8
n8Z33XQfeRc4xlmjvcEJfqSiUvpjpZUJ4liY+kp7BJTC7DZ/dnCEHsE9W8JQ22lcWIk1u6/yJXpn
UVkNL9wCiY5GP4rrC6UV2ExMXEDHhZ6HXhl/lnwIGM/+t7LJalLQwGwJg5sgs8niHXIJjUPR8EES
hjK1CSa7LDV5afNJ203f0m3R/ztqagVhQwn+u5VVRfpMVhrkUvb5+98V2CbFQ2jlR6pshLb9+Dp7
mTFjFxk0P4rpbnrYwV2ml1ePeZVGvFcH/FFIfupPCYyIvboxm0Z0KRO6/HxRSDn499ReE7WsUY1b
FXFscQ0fAhp+jT3TDkWZVZD7xkX5H9Mf+y/kBNTpDdmapqoOQZz0iP5tdYswmVdf1/R/rUT6958O
Gr/e0M+Dhol9G70JzSgRJE6X+afBBDYlpg5sf+zvfx4yOP8ajArpXBEvLiILftciswx6ebTPfnMX
/p1DhmqIQ8SvHX2sNtw9oZchff2Py6YgveYhg0l2hj6t6hFp0bheLWD+yN4wmTFTag3yaf0YAPqT
eSEhhOURuTczREx/FS2meonrQCRj5l/TCkrVFOXmWgaSUIy7d/u5JiUAKJ8Ipg63jCgLgy03+tPF
/S7De0btSkOKOpy+8VWpvNLkDRWxOWvIxCFQEi+DD+E7Ds8ahHaSULCiR74+4y7GEjFAbI+YjiXs
nyvEtsU6PYhbF/+m3JEdjiUrn/Mpel7DPj0Y5+5E3BWZhGpQMIYKVLITUxfqdit5ReRgnZC6bJLd
vzNJmaN4IdEg1w6wg21MKGJD/3n5vsyS1+yaF6uHvKGhiGSGrpiweSjv7QAM7l6Nb7TJ5ilZ1V9Z
NGE/Utv+nUX8UhxuJHLphJSrj6nWCPrJqJGZjiEaJ75FyGLQqhvleOgOaBMqVI7tKjRtN0fKqj9o
w9BwuCUgrCblGLsB9CtE6NJX75B2qTwQyNB6mTraVQ4uH5JTTKPysrUbfdcBTqEWDE7vVSWlSZKW
LTabomFSltFtoZsiyaDGbFYUI/TUZ7JxvnERZtBm74rpDQyW45C7WdB9vAoreRox24vhtTwNIllP
GVtfq5hp3xKea37SjeCcWDJnMXt3uR2mYTl+4pZr75MbXZuQVLEdOl7Li+j1NGQPCb0A2x+VT25S
aQKvkvHy6pNR+ONxkA75faqHr9l7ikm6GF9W1vR4k+Z5ziF3lEPz4WcSRjRwvOH0mcyZEmjkPr5H
XySYinE6IXUIX4S0BSjSWPu+Ey7O1Obvd2KW8UeV1/l382vyyh9yisGR8vvXLxEtn3/NMv5PE1Ks
0OcQ0b8Uib8qjsev6rO9/6kokk/8hxv4WRSJAvuhvPiX8cEfiiKVGEmfJqaMv9A3RAwxbRvaLMpv
pfRnZQTYASiDVg5uPmrn36mMWKv/SWXUaedwltDw94mF4fczsQzZn6oqDeZkZXupd0m5lbpmX3QV
VIWIjbnClau0qt8P++phbTPZBr9K05qj7FyKwfw86/GF92MbEyDyBJVjv9WAqRSYVLRQ0k1xe21g
e4LCbHpyG07DMn0eGTU82vK9JKxTi7RZE6e+/jQPt47qgZf3XnzdYuaH0aqsltFJ/gCWhT5vlVjn
doFK+XHhE6BpoMzRs183g9/LS1Q7T2fVHZznRgM+V03Sdowc74GlYIzW4nYlb4fKC6gMCwZt+oOQ
w/vhWIUYqI2Bd2w7HF5HAySZfOakSDoA3J9uCEKMgPiV8S4wCr7NaOxzBv6G8AXM4Zn5pLpX3yT+
8S3o4AQGDOAXwZtjMN2DhrGk+0AUr44WT/oQ94xcvEvoLrpzhwYtxzLWjA0GMy03ClXWhM86s7zm
tbqgLgr1cYXJ4WA2RF2BHoNt3i5z2uPskeEzMHFhoAEvgtY+Yo5lvsX5PS3mWga3dJRJo4JKsUlO
PNC5dCfs6UWGcjmJlwT1In1QDeoIVNoApoec+A773Vpn5VtHYH+ROCDKdjwbcitiSxdvmCUiU4QC
TmE/d1ByH+5HUwUXNuHf5hqrBL3mbbuIz9ZKIWcdpBSiDZ42+u9DIpNFsu+grhX1ZVGDOUa35dgE
esiI7ocFFVii69es1EVRufhnnCM7xTb26s0wXRUQ9xHva27x8KqHd49Oif/yWCKv5N9bQq60fnRH
cj5LRvKBb+boDuCVNWuscVxhIk3G6aydpqkX4SDqYQp/hsKeucgqfQfZCY2ebkHUqicoWCyirZtF
VfMtNqQvVyUdFnmYgohc+AgQs+hna0afh5e2pxWif4QHbQacJB9SlG++zhvlW8Dq9DO6FW6B+NlF
dUV4VtDPjLditzpVp2RhqJ0bJZOBTlN/b7yCowstTzd7bGLvTnQsAYobHndyG8ebrp6gsnEQ/mhW
fMwtHiUTdlLppFFHiKc8N9tj/K5x5BtVycggeDofmHe95lGGiUQF7AeLY36rxmz4MI1I0sSu7VVN
9JAnhTwrdB+fyYS2n22+SjEufUgbMnwwQ8Us002eUemberFtZPn5/7GW/PNV4veLxP/+L7TPZkos
y4plUlL5/VdLyb8w1wEaxtXXn1eUX27n54pimSa4BgtV9y/MDVtHIc4wwTRsVdYo9T932qR4sWio
Ilvw15gvDWQ7kAzFoq30N1nr2o+d9M+d9m9ScTb6Fpx12+KWf5GSWNyJ2Iwe8VRWh0BBapZrxvpW
I1m24rWuOZPe+FDCwTeleoPkrXO6jYLAT6eZaKuvsURBLpGvKebCwpR1VxDdRkk5t+V82r2k9N7M
qebQ3OjqgTzY9W2mTWp3PYKUOhTs/lY9e9Z0I7NXu7HRxazSLZlmjxxcsjG0Y6y4AcnMS+WEl9LN
vpAtn25fNgknJDOfbm/F/g4zugIgXdRj9J9fkI0D56SZY4dM2iUc6Q4UAla5bo6H5/HRsbIwd9xo
E6Qz9VjKpzVtAzDLOOUI37uN1gqSmreocWVj/0xeMSY/BBlyQbF1sY2ZZ5HtaE3wQ++l9+FLfOt9
jVj8FB/Zgk5pkAfZ2yWaiKbJ2Hp33vXcjX1lUi+TdZSjw5pQFGhFtx6dYo2p/lr5cLRPrTgwAHD2
8uVkV3Q53OxFR+YN3yPDSSWsVrdxP5fSZafLk+ecfbtyKeh1Ygo2X2/L21dSeLS5Y4NQqvds/OCj
+WgNLJmAJJ1NvORucHw7xpLFh9AioxnJpmtQJLEys2BUp5B+k5JuMZSiv+Ycsr8xdiHqnjMEplmX
ZYsQUAzl4UzqjlOkiX6C4lx01CU3Z2wyBMiQW+dKvIxYVjECsowoHtC9Wl2wCFlk1lyd7cBugOQN
ivOgLphoHZrimDNICVv1KlrnF/G0sDWn3a24obEiHDLjqfp6zpOg/OKuZjfvtk1R9zIdotn/Ui45
5Mj3alZb5iYllCvhEAfBs/LZ/sCxKoBHdskizNcLe83s/cnAZ/wk98a9mwWro3sjN2aY511D4Niy
+TZTdQ8otAJJQg9vA3tvgERw8WJjLRH7ps6LL9NqGLeUfsqgB5/VlF53ygmA05AUzophLNtbGEr4
wdfysOC7cSt4Eqlt6jy0sPguJXgx6vwpfXcT6RWEIePeyO02cTVVgWF+DMqI9YH3SXpojFXPcIFz
FVPy4uUSBx+mNS4mzycO8Cbod5GCDOnu5fvOrsZaYnvP3NVJn2vGCn5MYpPNFfOHqX4aoBJs+xLF
QCA/ypeiy+e5cbU6//Ku4vTsQH7Zz9csj44FL5nBe8N0w+zgFm5TSAc7VuCpDd3e7GH09g2yB231
988o/73WFaBJIPkc01AgJ1Hb/+3+zf7rLuAgafrnReXXG/m5qKBzRJFEB+c3j9HPzo0jPDgOY+p/
cAB/t6jgy+GgQkYkfZw/tm90DihAAjk+CDuT+ncOKYolZOO/LCrccc5m6MqZV1tCbvc74V7bJE89
6VPmWtneKBEKybpXRQa1xb1/JaqYwUgebldp083v4/oBvXJKDanAgivLoVgJKEae7TVAPyXxTepY
wwWoHREQqy9QMN5s9DkNybr1aq27LQDzfgp8f96sdSyAFhNEl8NMu9XImju2u2ajLapNtXmehvJF
c6DAZtK4L/fW5L6nmTHEXDaCGZQwNCsRYjm3aQoUOo/5cclGyu6rDu1FGheT+2VZdhNecxGSMHA2
qQe/eW5sOh46OTpEtRSgRSpbQkxLxtG7QXxamxL29/mIJV+n5VTkU+PdOCndyURS/ARNirmHWC4g
qY74nSylx9ZSNrYSVLASYlr1FUlCWIoNKIDyW96NjBPLn6mfbK9/R8mdbIhAmLfT0I1hG50bjiGa
xdCbGFFqLEbn2oJ+jTVDDe8VzpJ0c2ktT1WSiaW0jACjGrFYoGFw7YMakXivy/7WScbD7WCZ6eLZ
29unyXGAMHO9Wt8bZ3Kpq4lamvM+rbePqBnnAkvKqID0OakkCYS19WGvw0fxqmW1H4bhOlGijxqT
lMWt/E8vG9jnQP5whdJMNf+ybPyfqL03dYyO/Vo18Vf1zyvIr7f3s4KYKntIW1X/YVP8WUIsjIO4
GBW6ub/FA/0sIQbXNL0PVJKG/iMW+3d9Dlsnr+dfgUV/p4So9Ez+XEN+tEsUnggb5OkvjY7IesZd
ITTOVQ+EX+rcAZ11Jb202czUZlkTGOE8npjMhTaXb3Bgk6a8ofG2R9ZrXDAEf57bZN29O4ADErd6
TPVltNDfSl/dImD4kGtlYrFXlTvLHQi4zs2Ts27VGZaTInlRyiUL+y7RriFmfcdLOZ5P2h2Y9Msi
CdnnoHFc2f04NglRn6q39ws5h5AbWgT7kTs3bwKTUHySaje+fengIdXpk3iT3r9BQn6b2tnn7bur
joBR4ykAy+RIEEbwONxx/7FxYpYHtBSHI9epLZ3viLV7nFvQTqoFSvZLGZjLbBgNGFLw2LCZwweo
F3P6y7UdVLhwaK8i0nfR2uRzJJg1uEuCHKQTXy1PEvQAZz5qPtftkfb3fQp8yKeFrZ3ZyS0DnF2T
ePd+czwxk79s6XBIPl9XOePHcMJaaO4MeXM/3AWhjVyLx4KQFF9FbUirBFOI5DP9e0K9o/BydOZc
TrQFyTUyYUCriNZ1cbDJFTgXBw4bvQfr4cU45BNOwsTA7vTVxY2/eUXs4tvEsq9cERGFnzkJCI7n
0HBFjnfxHxfU+mLBuHxBYKpoV495GGcofShVyO2G81kuefYousIjam/rb/Qrnr5t8ITygh6Nc/EI
es3N0j1CJL4pI+ECq8sI4szmjO1I9zvLe/DLjtwBhw/3MzmYcJy/Cc3AnCnogzbJxK2btjPFfocZ
h2T3PuZ5NBlUPFfob8zsqpDvyXOiLWS6TthYYCNYwEVER2fcJb6MB1K5RmucLCabfG13f++xn0Pq
tI+xdmrar0HdGzuF4NKdE9EH6D70zVN/K7AsKLdzQYcLL2X/gDTbk0Rwx/D/0PRJ3eF4ADj92fNs
8LY6ReCVfoPFZGOBKHiChOLH4d36zLHWVzS6aiip5AN4Dg76rwe6QfIga3JCnl6LjakiBxZuQ+xu
Hgvr7ID1+eal7zENYv/77rJ9pxCc6WrmrsRGD4q7IgkFMQucLGTMcrZHjBh9KtI1X3XHVHcrVr07
HJzzg0Bn4dxCeEvvbwFBWAFvwaMzd7p11p9v6UG8ib+rYe98lNCizvosLdbMf0wkXOVRn2Um0X8B
Ic881iuCUOXMS8YLDySIuKsPe1sBbwFYyr0kp3HEdEU2RnbqPRQua7dzS7KB+xWj9oh4XZiLwTP0
jwAa9v3HWSq9R4ASK6m8dKpUE45oyL3k+5e17hysyHbquD+0bdmxrwgNmCKLCFdIvO4LpHHZqNd9
rTxhhMqVueQII5YwjfiDMscbq/QfXT/GY1sqc9kiSAV7l4oLKg8nNk7DwhYDildSSfnanlEE6F/G
CNq0v9NOFKBXzlRo1dKzXb6VeTsyHke8tczAYqIL0HbuSmsBAjLFldML95g0eJdPpOX1tcGFvYIC
+dH5WXhWAVZEGyxdPJMFj8D0uu7KaEpHobfgY0oAtoqrF2Y7fijoUniKLxg94SUyRu6uCdOY9MSg
bpCg+EzhKGrsohBN9wsZkEzicZewql20UfzVvOuiAyaU7CVzEVJ2dWlq8myVDKLeMdwUBF29dI8D
3/BlrAoyStwMROVG48ElPs9ezHEWUXYGQXEHIctBpQ7bzFPVEb07gZEnshGyYUfreNeIqFEYwmZF
ZK8QEDffpCPQsL6CAuI4iOpB/P6Wtukq4yPRisxZ1FhEVsBuX8le9smnTdca35iNbwXFwkBiMVNH
AonBkcn7joOX1bifIVLm1AnwGA5JBFqHKWRw95GGBWyxcBtVb8lsmNwCbF7XU3kWeQeCCmL86EqK
lEUgP27q46dzE7/i44ioRWpKUtOL3TGas6FdQ5ue0yr1tQaQyOJLmBlvLyG7aRRq3aTXpzfyp5sF
gvYnLLRxv3gCslQpasBQQPGZ4EyiMf5ld4mbGmtaMdVGL8QssFSoELFHlVD1GTvyllaDrwN9031k
xjDfkLdPgFx7otA75BjNiEta6XxC59PJx28UVcEfYQ4Kx0z2BXfVCKyAKCWXYCT8nxRSeCcijU9A
4OCdzUSwEPlvInbKU/lBOaizQ+S+47EehcfOV4DiPRcVI8n7FDdp5/OzYQiIX9lKfDse/oBsN5fP
uIUnWGUDNUB2Gfpyw/jiZ9ZeJcoKGh2jXzguUpDPNULcUFX7OvlGN/LiqVJKoH9TPqp4FF4JsqYU
vZMx1Y8KbfTO374KnN8ip+B5XBWjBekVG6Gp4S8wphgPkHygN3jiyeX4xEYoshi6j4jiyJtCAJzS
HTZm3HOXPfMUMhba6YPp8rQW0bNT8ETAU/AYtguuTjoTBWkYOBXGEthVETedQrMKecvecJ/zXAyI
JW+C3sRsAvdhWx2edUDb/qEd8OvxAjyEQxsszlQFk/OAhcjKNiqWjnfx67k1bWVS1UkSiPcMsOeW
JwX6VjxrZAaCSYScJIWTUp/K6bJ9p2WRvNSndJJMQtcPPzN7Iug09106KYHvuf1YVVYVdNPvDvZz
wPUvoGHHaPV0Sx6cPSlV96UhGBve2lqdDNM89jMHrpc0fhybcGvMuLe36SvtmCpIMbATjLAm5Qeg
UIPi5HMwJ/fvUoReyOc4BKrK/Kgnndsvy4NeLlWuIgPHLmP4aoo9n6eFe/haMhhnPEBeJC59cG67
28Yig8OZyQt58VhZx8cumSfzfsXdxxIX2EEyUeNRFbvZJx5137lNbs7Upnoz8RZFcJo3Z/2MW/au
jvODNAAzj30RZyPyRoZRsSo33adNuNFlxFh+xPV7p5/vIXX1ThCB9tW4cq+wjXa8pXJ3uhP8I/BS
kyggV9y3yOZh2zUmqsNjlDxrFopHp+3JKnFzo28gAtAFZCY8YCpXF7JFskW8EHFQjI5eC2bMgGeJ
HFlO5Y3jixiZGbtkRm55NdVS70fChd8R8WNPw8avgCmRd9G9StcnYTrWG9Ltwb11cxV1MBvKzwTh
joDUj/KzslKZ+gjAoLq5T/IPeHktuxVmKNhATO+OBkJZPIi7UcHhQrldFBMBNe5Bf4IALlgMAruc
5sTnLOEsrCpMQFhcRCaMr5MNVFwvHxbuD2TCcPEQr5mLlvbzqCaLyRnrQb+kpUhuygBiGK/3IvUL
F6O2McXgAuBK5F49ubmm8EmGnz9cbQzUABxCtIKjNLOdpUbcGOla+hjWngshAzW4V0wsPwT4xsQP
2xHMt5A/ib3xuDG/mzYrh/0iKVRMu6xwqQLeq71T+YN7xZWxdaJlt+DNdI7aHboDPL8Q7YPmyE9m
mIiG9tqT3bsuQVBfY3bqHKu7IFG3LEJ0y/e3+3og3I+9DXnZ7GqvCg8E7a5nTzDljuQJiwMRWZWb
eVmgsj7AMuFKfw35olBAvV6BIuAQ+ngtBIvphvUldILm6xYwsyQ80H7NEUyD6gBMTU2NJ9kqOdCy
Z6+DOIWPsT/3lFND45LsQSaLGbxJ+JXw+2Ca7BR+9YCcCB/o/fwj/wh5pwEtPMbg/8xFedbXRHsL
Lfc5O0fHCmuY9a7lGzh5Fv3JFeHuDtiAzFfpqZJbLNhhInyrEIWSwBRWRh2ElUCSMQGD6nVfiQKH
74eVlGoVBvnmeQTIzBfAQ/OEaFFIlyFFoThFBcw1NOYaumwi72u3OS0WiNmuK+hfnGVGi9NiIz7G
P+H8GQOsCEBKV5CGorsJdS3EJ3TzygCtDD+bhPCcjRzCIl5nwDQQDs4MRjng3ecVpzYxZuDsJh6C
aGdrlQBT4IkyG5LZdbJyVOJt6Otilf1BoRKJQOQERM8R7jwYhxAOZyJ4HLv04UbaTwXxZcuLHpGk
uCHjgifDeUnnX5LGVfGYPEYmRzYIaD27NHQioPkA7P8AZ4nUJz0g9alpAufpa/xDGvOoRTiZyHnj
yREFgc2ZpwyuvhdBUy0hNZDThOZ/4rAr982A+iYbNNP4OPW5OuZTzWeIP2f6ensdFhnnxWHPnyLH
zBijDyQ1Z4YxCCzhdKHMLh/tQg5Ye7giYJMLlGNOTpvBHJ6vXkhbXmWHi1U8TlIcWjgPgYbqXDzU
nrssXml59PLKpiV+E4DVm6/7SJRYrrHHicjGD4J2LNdYkrgzqeaWr67ldUxgIDjxKaRNHpEGkpOw
o3ENasyY3Q4EroEPs3h3gwogxBy7ezS6sgwIqp3zRqQI7wVelkBDbBVBd3jNXpuVwrPSwz2fFkeT
1hWgxNGrNst5jcy1iANSeQblz5L329OVtnghKRVPpskMauFVVu7rBzhc3hc4pig6FBlm5EOxbIY1
O0ymLQ4V1CWwlEeYrC8QXmvM2IS+BQ14Uus+kzhUwTg/OC+6gvpcSDF5d/EqRlfxZJP9O+UNx8hj
gYihJDFNZC5Ys5btKl8UTkUAIMA+FEm1n5VLDkucZkLIfB3mgR9/Ja5tDHZz1m+dFwoEIesF2s5s
WbCM2sSyj4aTNJU2MKxfGVpLyTEpX1pjLMGByXfDXNrsayDO58eZHkYFMLma0KDUupONtorxIMQ+
BlROjqaZtM19XmkBwenpgmBy8p6gNSUnlUtH76cXhzPRsMrA2DCCwv9wO4Y1m4rpZWnt9aGnvWBY
06I4NLqv1HRZmjIYEs/shO6sECfSC4BcjRfysdTUq3Tb1mgHyF4u7+PseqdEaoCRWl85g9pwym1C
SIkCeYM+xeBf+gVmv3Zezwe2gvdik1+7nr4JyfS0ByLDrzH+C1ugDOZB9+ydTNCzNEljwKGupcP8
IRTRWOq5BwiEk2Q4ZH6ouMbU3DmfBsP892hpr4jTsHf2aij8J4UADqGxVJQ5TwxCL/I1po3HSVIF
RrAonhvI2OfbkfTf/DNOqEUtujbEFnR9M+TStk/zCMeCyLamPXx31vyJtnqmNeMbpiHW3G5eX/wb
CSwZXonK48wq5cukGZtloL5125DNNzdpwNoQvw3PaXkpJvUM1SGUjZvlGfWMV1HXA0xFl2Uf6HC6
rHUfLO0t/KzkIH5Fm2ZhzrIV/RlqHAPEjb2E7nyO+pyfqWC+uvTrvp5l3/absVdxSaXdvoNtyGKG
HRFwNf2pEuF6O6tCbyB98YmggzwD//GqfGqfwFhymjIHZ6GuCl7nzqUGclVOLlxgYHJpuF8deW6D
1HQO+enej9u2Hmmb56tuzFSGyHda3HG8vuuebF0IVWNC+F4CxcXcvMW+mTwmdAOlhbKRd+ruglnG
lXdSIK+wdNKed8N3cT1xsGoJ7PY8DJPOQd31r/lEhD/AiAisReFVsBlDV/GjebVr6LxB1EDqAaVx
Fc27Q4TvfyMvVs9rfXBmyrE8cHvWrFhdzt1CRkPCQSin04JM5lJ5Q7W0LqvaeX+9ZSwdVFk2nFo6
G1RmIN8pYnp5paSzwiZQBvGpAibLmqMBcaaDenP5HlUiOBM6icSmK/KH+GqA8frueA9zt0AEkXXw
zUam2opjK7MGa56WG0WewDRBs8M9yA/NVQKd9PQFAdSg3N2v8MToBEGVioTjVpxOSAODyti7XJj8
LCCjztYhh+7/knde2a2jWXSeigdgrIUcHo1AgjlJJKUXLIkSAYIBGQT45Dl4FB6HZ+KR+Pt1q/uG
qm77PvRDu+uqJIoBDCL/cM7e304I8ImIoBQYUsG+NRiMbvNiRDYdY/5lfTN5UgKNwjYWW8+TPCiY
FSmVDTA5wdQi7Q7B1IKFUeKre4V05HEt7dCgTrtzGOF5MFHKsI9Et8r9WEMDVS9QqiusXgIxiR7C
vACRsgmjtUUU4/Sl7wfJY3GN8bQKWqS07I7sApI5CZMJN7OGGc9n4ayYCqRVwyLy9OSsMKMN8y02
hzdxjrBLAZPIt/y7+t2R3dVerkm5vNujG7lDhxuXKOBUMWFsWdxdtjWjbrM/9wMkVLe7r5Z7FScz
2iHPeWUIBkW5SLdNqHn6yhgZy2oHCiJ2KG2xwgeKCvNzZ54WWQ0D+bGvYESkw2pnLQG3zBCZdiDT
AjMQhJKMaiV7AS/Olf94ibyK2lKlCYrA5v/WYn073SBA/jcarQL36H7SbG2bv+q3/nzE790SxOjk
MCiqZmgGPdcfZaG0Q0B5ypbypfGhkfG9XUK7lTwGkyvI4tY/CuY5R8cURgv3CyH5W+0SWyBu/tRx
/f7QzV87rnGVt6pxggwuMd828cusu9Ol69+KzAqv0FlIfhpr6tJIhnfHK2677L7WbQxc04pE7HfY
wwOkKvYEcXppdi7i7pVDC6OB9Y9XkQX4utCwq+vkzRCNTeDApPTPx+uxSrx6rw4xVLL5HTU0GA+U
V6mzslRgkimODjBzxZWZclUXNyvorEBzKN4l4jzwyVb+9DhdveZ4K/2TuX/YLN2B9VNJF8J2qART
EMoLSXiMwUlnGu496owmrVRUCNXx5Dzm9wu1nOQ6lLHh3qm9wmlJjEqcxHrMvaCEQOOuUGzCY8XG
C2jeloWKGi1puzIxPhzxaAvWYpjm5SHnWJM7aGfXkTztLqGixLOJanILwU+5zq7oJnUWBKP0KBHQ
Q8UCRVEyOgd2Pig6usOIa/HKZdfPiFoF0F2a0mjnyYHJLawJuyJFYtOzKFBL2ts6YAXklGMpHYMJ
hJPvqQ/lnfGCUo2tHyR7rlqI1IMHOw6tWMb31Vks+cSqj5LvYyblRFjns1NP/tdO3+nvmLju6LWs
yCGQF9PzOTDxUr1bNKQrGtPOA0mU9GTQrnZoW+fZsqoCk1fGISyC3kZ+D1N5lmi3sKPpbVWXuZIu
73d5bHSmr7A1aSjumrTKe1rmHa1z0mWuGzO8FxuFtrpKR6QrnvtdO2/noszSLI1nFRjUyhBoHJK2
PY35ZWFP8rGoI/Hn9SjNNIQmM5XOq5fOU54J+lGKrfVYmLBHGu9xx5BrrtGKBQUKgXJ2U2a8Gmd2
7C2KpA6Uvg2QL8AvcFYn2adEKs9V904KOpi6RMW0PkkT66R6Mp3pR+uxFGKm1RYASIqwZdtnKLdn
mfXnWQYOxapA3f2nN6kNTSWABiSOrGsiK+wfa1t2n1V9zWhU/1kv+csxvg+1hg1lwXSgC6hfAscf
bUkkXMrK34UvPw21joG+8gt1gJYS6M4PnWlLVw2606othu7fErcAYvzzUPvD06dTzuU/iFuupVV1
Z9NORlIZ3pLn+kXJ3Xxa+7SZRrcpXSY+TCRbNiFzOu2kKpubysxKAo09nncnRSB3kytgxFF+J75G
p504YUTsLf+af6jZXCue2NeU1Pu63b4hUfMylqm1UEOiwbzSgQPgGz3SvTyxXaC8Y7ADItGJPjC1
2mdS/q5vDI4n0aVkfKG0ZntgX9gvjsuTi8CeGB17dX5LKKvGs+SJSzjzNO9omLKhpB1MwZy9CEKa
gLsdE2YRnl7TDUZ4bIJfv53peV9n+FuvnzYTB4J0pHpY5knj2bcHh3YABW/6kfeXtYX7cMzXGTo+
iHRtRM+RplA80+1tpBHOsYpOEzN35dPSyALsh639cjstbB7P4/06Ez0uoCpTNXev7Shd5BSOSRsk
95h1KxJ0OrwZoT7hFYysRaf5gR8IE9CkUwEIEq47UOowzSj5rHV53+ybYT9LgQlvWnoEsggOyakx
BrewZUtfOxP6hes8jJ6AH0kAl6pFwxRIgVDGQHEdK6Acpgqdadz17IPcop1Fo5zg+54iwe2tmLbn
HStdtQql+3MPxPKTII6zLWioRQMXSRBTKWv1A5FCIeFkr8I8m8CpQcdOtFrnE3qsEujuok2PDlTU
28bHeu2ElXyfqaVPmb+UAlVePi5g5bsCWC7aSrHEdvwHbWJ82va85ZXwH/Xicru6cbkq6UWjvCSy
eVLsgJl2Q/h8JU4Gy48hz3BDkhjIaewO2Jwq7F0R1ScfYCEknZpDVe+knFXvbM0gnVb2k+iljppt
Zk+lHLn/gpIsbQN7y1Edbb7CxxRCBX3mRVmaa3N93RkjaYDz3U2pD5iBbBFyZiyjQPxf3D/Olae9
EGAZVsghXWkw+U8fd3VH02wNmxF6GIGN/8fj7pcn9H/9zzf8c9Wfx95fj/N97EUeaGD6BHCj6ISO
/bjMxflpgFqHTiMUOVz0fZmLTB3NkqwiI2cxzAP7PvaamEUZy4WbU9XwmP5G9jDKpL8Ye2VWUJqF
Z1TBBvXz2JtK5knvYni1CdVIFDzlLDdqz4JlCSM31l+66NwgoBHVaCrdsRPErY0yWPIlokNUCrCy
RMw2ebN2NLzfXZ0kChoemXM00C1UuRYWDoAPyluoB/hY1TeqAtqr5lyoS1peSiHCqajmkBNIIfyy
c4BY1JMLhfyhigMDQ1BeIhUBvaKiPWoij/a00k3v0ZF9PT35FBYGnyMoJXSviwZnUnO8nugH6XPI
13ynh98CcjpnUw5K6x893hokrN0+caFMK1RmMBqyoKvITKmsEEGzw3KYbPGOktema58F+Fnu3JZz
8TSRuV6no3M8PBN3RkvpMZceo8JYw+RK5kk2Me1n/SDva5llF71MG00245H+YS+4hlMOuDYEaUqN
JhKNcgRx+SV+yo1B+sb1pGgnagN9hCj9I07e9IPgkBD7ZlCDJ26oSsY1wFcTSJlkJRgmwZa1UqiM
kqE1qnbps71OPxOgVIwFO26QgtyiABzgR/WqCeGVI2M/K94ZnIqdWUVhLMHBglLjJsrCwBVzkTFq
InFpRoY0t5ldQ2biBqvpowDZKOPTAffDHKyWPFRGTAsFRslieaPkr5Ec6LjKEpSmun9N7m53I/gT
RQJWq2WS30AWQdiiueYykRUM3gqxJ5RuYW8900ZH1zHKJufdKfN75sDXGf1nioslf9n/9CEMHyTJ
CeQHwI+CRfVPhrDp23/ZvP2VKPrXQ3wfvQxI1rhpdITXQhj94+iF6tnAo2nDb/wWpvh99NJBRbLk
NP92yffBC7+ODalR04TnhpjF3xi8vtbFP+zR/4CMCqyXRlzun8netm7FzQ3C06i8pk/O5iH1ZIlX
96fqWLK1NQz0dg7KoBQ7MnbvQ0XbgRoX+rbWvTxdnshnK9wZAXLn0RWFch0ggjo5ucePiIxTBVEi
mj5p0tNiQ6ohesnp0iA8AW0atOZkqTjQ/B63QK7fE/IB31QgQGXzlIPJc4DQc08a0rN0eT6Tx3dK
wk7Y/07rnoBwqCDjiFZLmlXDW6zMskTs6TDplOQAwsAaR7d5pTydCk8mweqaLdMY2HpZgA+3FmpN
6Nqq1pW5g4ktjkdoK5BoX+AoTXKMbhmed+F7s19yTHC3nekLSTIGdDd9t5ptL0861DmUirE1xvD5
rCcdU12EjwYnfob/e30+D2GLXM9L/CgZwby3diljzSvuhJ/xm1aHjTKw5mYfjWOsdP4nsV34JLyW
Fj4ixLinThoqfjTmtbsH9zlL9TOh8/n9Q4d3zp0UdM3lIV9kthX0sLR4eB2exhe8Sddx0zFIhHX/
mdZevslWlXdZPHbdzlmb2g6IIwHdDFQ6kUP6op7E6FWN3oOYcyM3lvyr2QUbvRXCitLZl9ob1BAP
KrK3R+fFosEDqFKloGWPzjOmkHrHrv00c7xLRJ/xrH6Szkb81iqJluaGlpIOX793l5n2kRgD3aGw
S7WWfpJEL7IO5EWrjjkFCbt3L28v/Ib4xLodqTYAoaZ7Sq4urYMRRZwNzbz+oEuDAkyNS7ukq0n0
9a1ZQ1oBtYcMbBrgFxGCi+Yc7DQaryDlMc5qAjfQDZHS9wlN6kHnR+K4ye2z4T3+0C6TTD8PC9Qm
dbpjGX+S547l12/xslF9lFhPxTnAYGsMLzTDcvZQxyZZg67Cm6qCM4zf7EX6htcXjb5p86RYJsuj
Kyi4uNzTCtbkFWFQ6kclvZYBKofLUO6J0EuNt5MKhkAZqhh8azr1LpEBU4phvkxi0pguiy+L1Nyg
9ohPDrRnqiWJMzFb4W81J9kiXeXauPer623W3pCeoY3TjdDpvN7QA1uZV90W3pWE4yfGLdMQIXg+
WBdahQpKTY+v+tV5pF6KmwukikMAgQ2bOzgPtDveXD7OFKSUyLW7zq9nxUKWvEeM5osWOoGcak8O
RZEOzOuT2kzO9mNr2tiO6KUWuAYeK+1uBb8/9fx/Rg0AJKLLlmMzEQDk+mdzzzqrvrLV//d//x9M
Q8vP+kT1ePlWl6c/14x/PeoP05FY9P7NwilWzN8l9qaqGEwDKulFosrx42KaRTZ+TACQTDkCv/J9
OjJUw2SBjfTeopJh/s50xKP4i7W0arNkVyhPY/wUl/9Qx4ijqHqYzuU0um7tdDdDDX0ZMVvU1d5e
FXnqIgijLnEZ1bgdF2UVZMdk2hPMbvrm69acJfSIQv0SnObYmPfRbaxtlMY9vWeibTy4NoMbhpbC
Lw+sVDtl+jgPwGgoi/u4zWcYlwGMx8pQH96mxuKSrKElyldUedKGT8XKBntImhxokG5SbKllYCFl
YL6NhMo7eoQ2e1pVGZrD4s1OR2Y6yhRMgHwg0GgPLzlBaYNrNAcfgHAQ0bbWePKRk7JnD+/nsGTR
nE6pi+TTbNvIs5ywYhIIe2LgRL9WOWiKTxmn3YvC8GOZRUucmBqlcGYFisQBS9iFTLAj8zHAcERk
pCNaHvJDltiAScILFY4eygzSVaawYTKL160fr2VrUJ4lV6+OECWZrkMlWVrakjWqhWz3NpbXzJm8
bsoo52pSfMgRfJ/8Rg1V86lblkg/r4Nsbh+ZndjxoKJu1KGJmnjbIrHsyV1Ei5fgSpykLRscmFoe
HoPaQc7kV7yusGLoB/KyOt5tOROKznZUza3BvXK7EQpM1wEOPb293F6cgYK0k/Ddyq2X19KztzWB
cVwkXSEla9OCUg0yto9UcyXWJiCeR9XM3upBCaB5fQ7hz19Jonw3hD70HD5GJlLOcmzA7cSSH00b
UpvLaZZ7TTQtYYTVpEAx49OSnSfUgrZgrIc9i4w57ivKv8j7bbIQhDIcYweicxrTSPT3JgmTF9fp
d+l1wN9CWzUoh0ig6PyK9RH6SZSYJKegN5pflKXUEx1BzLKQw5aTPg10ihYKGzgppnuvDyPnqCNU
EyTmNkT7N8RO66hsYwgvytYSf5pPsNQ4XyMfMHxIamsowj/vkossi6ksGwNv9kgEkCz8khOEc3E6
z/tHIGfPWVmQFTX+ulhfft079axCF7k6QWIjNKBgh2Raifgz+WfcutGT+lJ1QwZ1h76Cm7NiY2WE
3Js0C9/paHCjBECj3DbrE/pE540t0iGd94jogWiXh2wiTeGuzh+iX+LfKI9jX14rMIkKqJcRnRcv
l8OrEaCUBM9BI5iLsvyFNNgnSUUP7dRT3XlOL7sgoRmNI5dCFbU3o9iiidGekvUpX1TOMEfl7Dyz
uQLcxkzejDmGjGaPuhjtZmBh2TGrRnGDaq7ecqTrE98et6G5jw7XckZ8BokU2PzEod5I0pBQOjzm
nIeUzkFWCNdpbyORpf5lykvjsaimIB6kMTkh0UHjMaODItd7XG+5zWX+jbsgEwv5dZqjvlzQX1WD
+3mKhJMvk3aB7nE9ZxgdaCRcn5SjVE9pZrSogowAXgQtB+m8yy6v7LYdSM8QvyvKeNYNRavPU+Fy
sjK4YiRkVnk1oBDHq6rvuYwkI770jtTskO9odHlGXJV+BTfjoZKokY2iAwmtIiAyXd/mOjILxFrW
0Ra5SsOG9x5iYNRkxVP7loSR64xZ3j9UwR0RfBLkA4PcRcaEnNOmmNioLn9H/jyEpDTatEe3ok1P
S17A9LqxKShiuT7WQfJGieC+79m7l1vFRqwxtvLl+YnHVIFdH5zYIqyVowhhrLd3bP2DK1J6FBqr
4n7I9CEp7s4T7gNiymMXY6PxIrjVdLJZOt4+AV/I7+B6xbtIxAjnr6gY+Vd7IqiWABTk8BdIIety
ngyrDCTi4oNAFDUb8ynUs7GtY79G33kDkUFMp/T0+2uZ/wd38b9TeoKh4cGj6WwAQRIhUf+4FBi+
XfOq/nz7+IsWzM/H+L5yER4/h1WIJVoprEF+WLgYgI5MmZb7l/f4x4ULSxkRiGgZ5Cv8EqDAplcE
Lph/VA9/Z+VCme8vVi7fn72qsXr6ceWidHVupJf0RF/U6x8jSRqwUDkzYF7outLzGxMoiGTLUbcs
JPKpdmBfWhyNDa3ShtWJYoBlgegFnD/Gr7PVNlIN8zlgfVKmr3do0fEbrDEWOrd8ZlAhvE202NcQ
AlPwb3d39JrnVQnf5rTQMOmQ5jxsCTVid2fFRHZN2pvilbHhZ6SVTK+eDazdIFCMOt6VMlrtsEgw
lph2bua4RtF1TNvPRz0vz+RxA017Magrjh10amJk1KZtikFBG/Vs3lOSlCZkSZtTY02ZK28G+Tt9
5Af2n1l3nTunzambK/WH8dzAzJiYa+nDXle3kR1Yo2IHFfq5mKh4iIgvS57NelmFRyfG9lVNamqR
FPI7iw722f+XfPb+jYgx5HPaNCeJS9M1mQ/HP/7oTU7l+fJ2+/Mn79dDfP/kkZ5Ja1XnO7xg+acS
FhAxPkO46m3btIQh9ocSFp8t2GMUskwba/+PmwacxBDNVEejzMWn+bc+eor1F589FTwatTSNz79p
/rJrqJKiidU8SUfO6bWJGp8f5/PGQISehobC54866K0TX47TBReVySlGyu2gYO8GbBBQClIvaWYE
MZUsxPbSgAIrX2gC9VnZDdrn7pNSzuA8MHeely2ugwRRhlueXWGO6vgE00T1UJvQZGwH9d6e2bN6
z+9376bBp0KrIsPj8MvNxUfxMrkNrN1TneCpuD/TKBxbO7BVtPwnaAHCbo8qxRACkfgNujkKldUN
Sns0I8Ftby2MxY28TqLdaHqZq+6z+wyRDC+6z011g0+NBB9rVxESQTl4I0hj/iFYGwYrejNQNvU+
HYUmmPTAw+g49WzPmgp3a4RS+YM0Ll8ZVN771TU2p/mrHPTjepRMDVde26+XEYgpXLz2sHm+jp3d
Oeg/F9ZuUbw67xqra+f9Or4NspXiOu98YdIiqRidaaC4pfWs9eB0aIcWg6MkCTw+FXm+o/UNqZH4
J1a8d7DNdeOhivGpPHYDxDXmStrwOqDCAcZCb7Hx9myKblMcjcTHOUJB00xYN4FY90J0xCv+D/sd
mLfhaQPHIWQFcJQwE3TibMk/9rW4V9BYItIjoTF4mxG7faaURIGEMzaAU2Y8tHhw2qxus7MNEkKi
AjhAt1Mde0LRXaHf4QcP4cImlVN8ESmLp0KcYlDHdskZhM+BnuZBs19DboS+RzxoFnGAT0o0rqIq
eQ2kDZxgsEBxgLKIL/a7e66kD4VCCIevJvIKOMET5WxeB/RF5ooHw9Y0vmzU26Tq6QS5iGnNm3/C
eUSgHkY+B8WoOqtf6Om48qt5FlfQ//b9dqAS9sevnCj4c//8a/TpfzuHoxWw48Y6XZjuj1tweHW2
zdheYuxR3Ohzy3W5dHtmMSq+boctd/Xta3s78KDkV5EhyEOJPrl6zYacZxc8NpzHKW6SXth8IhPe
8li2PPgs4JiA9Nh/eVwW77JAfoUKrZlkmgQ3XVBCL7zLC1ch9ZUT9MyGj/cKrQ1vYXSMpGZ6D7sW
FHzLJkumYOm+B5YPz1lQnW2U0YMHSEz4+C6pRTgV0SxjefKA7sdJyO8gpJPNA6jcffQARHSesNu4
GIvHpAsfJMDGkp+BiAYOPcrsIK0nAKXj+4xUOy9GG0YuENOny8VgioAHcRp+EVIwvjj9oLD5dfrv
31PbJR2AK3POE6eg+ieo5H0I1Wd/8Pfbfru+OBreRDBHXzcRV0cJNvh2a/F0KD5KXloECY9XHPbr
vkQZmufb/fEdlBG+GNbhCFOFGpXUDASu6p44xzebdqCr7v8QrVKP5PPITgB17PfTCAeo0gq3G4G0
7pRN3pSfL1yPEia4dQLMxcHybYtyVtyBNRSC3WihjZM5tyymDw++bOYBmL0NNSw6B+Z7eqOutQJT
iNMKNjQ/OIM/sDAogYdufH50PcpWmf2laxku33cYDzAlvdUBNxg3mHTshTFM3/DzHHcc06VtOOUI
4kY79YA6l8/Pot+XNuQXN/RD8d/k6zvfvv0arr6f/HbJH+d/+8X7+bw/fuVMjxFGzsIcIwVWj/tg
p0eMX8KIpQg/1n0gza5TisjbDgshnxUWhyd3Vx/R/G+wi02F3+OybXz5MP12GUalN8GVFLn04sJ+
z9P4uvDrlvJB3JLmy/Q82jFMCRcvQY+UlfjDgjwY881Ab8yPb1d8YAP6OgLnBOWRAPqtQE+JQye8
gnde4uRtx4Vfh+/34r7PI21Iyd4XRzc5HI+MD4OQIAfyQTwlohzFs5Nm90G0+XpK4tYBZ2Ev5aGb
iwDr20joub899r/f82V7H4gn2O/Fhdyoin15o82MQHm9uNf9oV9gK5xZnouxTt644lesxPPCv+6H
1Qsi6MnSeQ6oLvB+Sea81ZgEebP0iMijhXDJ4MJsyRXWD3ghjqQLu+LdytW9fhAteLtSntkXU20s
NNoWb+bHMXjJ31B4r7WxMRbGKGx2szagzSxCNnl38iQJEG/cnTQrsVeXxwpPIz2aAW2SMaa6xY6/
4cV17/ypAlKj3ClP2pUPICY5/pSHd2WiaF2cSlPIoE+P3p2+lIz2Pb6mm4GryN658qK4U8S5xC/G
nHw1PNt3N5HhaJofnFLZKmiuDMFM9jJqLwxvWH9SnJ8lAdAP/GnVIT2yzycosR1HJZTSczEGm5/3
rsmEzETRu/iBFdnVIjFinjvXoqKgCySaAHzS4ENBhLiH6wuGiKsvDLBbN7/7tN+//V93rpZ5l3HJ
NEdPjoG89QsGa5SMtVe+Pj7LV/v9b/9H7/Y7nltg7RJvudkd9jv/dBRNX1fsGXHCB5vuNct+YNru
fUxV8zJbRXMmY3rhrrmjP85BWHCtuAtxZHnVJK52ZhPkcmg8CmffLgLUwABsXa97voylGGtOzmLt
X7J5+H/rU/w7bTHoASCXIReRzf0/Ffq4n2+H7IbS+fPyF9uMXw7zwzbjp13GT60JoXRHSskWR9XV
X7YZ4I/1H4Hx33sTyNnBIluqrqiKDFvsN1rlaDr/YodPqYDaA2pPhXbNzzt8XpRbJ/fdiV0G5LkG
BF3hDZLrk2l6fBWYJG+g6hKQdRnprq4WSu82YAHjrQBspwC4s6HU8l5dPdQAXtaIPu8cRYzKCrcZ
GgDyZDh54PI6sHn5Rs9ldhb1PEV2LRlO0GjLAyHKJNKUgwpfcmS+KyAArSF4CC235meM397N5nNw
JSAPybYpmYOWlHGn9Z2UTq4HYPwcbW+RysPNBo8+FoSIaU/n15OJxW3REFGfeE2x+qBJp84J1JUW
KISSA+1xz9wkW3AVzYGGbhMHObXeaUcLxkY/ZL3G0mtNDvcF1ec98zRl3NIutoubp9KbgEBRnmi1
+LYoXJKihfBJx/NzNOh48tnGX/OAvxuY0iq+EoTV3kYIuyXgEeMyol2qpYQQC1XUc2LsnRzhHylX
AYPvpB4+iuz5FGFHqjbdsxpmm0cS6huiuhD5TJJTmDoiLD4oNka3UnBfOh47JGGfk83Bo12c04H8
eDxvT3U2fKCaTCPszGd9qkc6G4PVuULheC+VkQ7do6dOUTvHiDavjhbWpH9fSofEgPARJ7u2pP0i
q5a3de7yQrHYwTjr5CId/yWDz7/RsCIy50zCiBTkJ/9cfIOLs327/Lli+MsBvg8osMI0lIPIb0Tf
krLA95IhyXOABdETKvAAfxlQCKSjZEh4naZTUvypboGikIIiNHPoX/pv1S0oQ/7VgEI5BaguREJH
PL4fS4bXFiudfa5OI/2kDG2n9eK23VzlbqSfUSTHtFjuWekpESw94/2eOjH9tUdYXfxLL+rzUDYq
w5nda2QpTjls2FV0xulVDEQS/beoHfULbVZBa/k0JvHk81NCvecCsVFCM4gc35yjZwO+8oSvw4WR
c/eaK51TChHsvKWtkfv9JRvqD/hNS3VZxG4+uABGcSU2MEAyzF18wrqAx1ANtElOIUB8v3N/FDyc
9MU0NqbgzXY4g5vJzQhvzeRiAOkjCHLsvBdQQPMR6pT+WdOfH/3npWcvdgnusdeQLkTTStRM+HIo
tOACLFxIvA1bqUm6wDGObR18yaqrx/yU1KnERTZqwZathWQPUwTPiFlGefFkqk9y71rQWo4lNlou
yR6LsiELlBTLIM7nNU7oAhK3OZHlmXrZGAcVJ1B/IZwoASDGcmSgAxFYqBjcdxgBHyhnciLFUlzm
beSZ2fSBd/RK4l81rKR1qz7bcImSwfkZKFJZeTh4yzoa1TLuzhEsIXBJmRRW6dAhyxUCI3XVUPK6
8UmbRtDftLu5bh5ztmUFmHRMjDLVVJZhmjCYS7Ok8DJcSRKTBs/G7HYyLZxRTl03Bi4xZHXLLe+8
PfBl7o327TqSHosHyCGsOkdznz3R+EnXjGpOGweKM79t+2StgxbLY3ouLQvJe5ZNz/3uTnEX7yKq
HFa9JVeOcNKWfnoZPy4zOQ6leZvQEptUyQfe8VofE55LuxHUf+J3xqx65LB2Jwhabf5YLUhZMhX9
80yad37DvlyzV1AYcQIEbMebmA29OTM0yBDpSIZoZQzMu+ol+NmVoA2lgB/20rJczXilvOJCTKLG
fR1yV/g004FSIhI4K1wC93l2nckvAKpEf1QdsAFGd6+E5aKp3qsAZt8pGUZE2lFasVdaRRHQwmP1
AN0+aGZ9NgNshti+3SW0OJmUlUUhjx4jLAr09OaQNHfqq4NolwU7YWN708IMunYOCi4GAUBWx6kM
ts043GXk6M5zdnCeuxVLcyZOUgLKI/NibrHCJg0BedvcYnGLzx+E0DWwVtJ5o/QLZm/wDMdIXxMM
wIUIfKcigbCwwrhhl+hW1EUMG6lO7HGlBqbmsa9YKfPepx6JSKsE+NEyRyIqAmbCXh1nBZU7/hBf
EIN+AZ2hw5zgH1kZbKl6Dc8D3p8yVHfEPRQ1L6aHHTze3NEdo6ECqreSUCXfyx3d6ZKFCu1BIpiR
oOHxqCGzzcAOb8FFDEt0rngExuMX46UJL8P7e2KwRWBUyYmrRYv1csdj4Mmgoks76Cct8OiILcHX
YERXwL/MYtbwyBsuz2zlqT2dIeyseIVKZ9NlH8mbNEvPoageNqKQh28NLjEpYYtyJodYWsg0fDff
oQ0T1ZKEl1dWHn6YYZLfqDv40YtsY+66z+i92uB3CKkOucUbe4gS9e6tmDb3gco2Pn15GJsY7dwr
waDjnMhkdn9fNy15jwHTAjEeqKHZL8V6yHotSDG8TS6XoKXa27jtzDZGqjm0d9kgDZRPOpDVMF8V
RBygl9ikr/KO2qeVDtNPUZi8fKL0Hck7ngFl5jTArQ4UJHe/wCBkFNC+fJx9wmMul+U9fWmxneVr
UEb+mBiFMB2fFm3VQ5QQUPMEuvmZkrUF7TyGen4V+HOzUrz/inEuvlgNAhEbSbVrfuhRmChBGWpr
JAL2xxBJGZk6BnoDevC+5cH2GdI4Homkb0Adfu3udtP+wwqSd5HfbHOVFt8MNBs2pnl45pwcpo4Q
MhIbTY0TyDcpPcNPENnD64z4bj/zBDObxpSf49m8hhjw3Hp0R17R+vvec1yWfr5QxbDC83kbUAkn
jsY/zwEewoscEooIq0ugD3EYUUfVh/exPRMF4tpn6KLued2d38UN+VwOaeYSbuNuJ5bLKpibTFjh
0dmeP2/uLtMetAfuEwsPFxvuBCQBoQyZT4vdjzzDZzB2t1d0HTIkJMfdM0O6R8sXeZBH6JucTRvb
5/ENWORuIEdgmKb4PGvcj3oQb+9j/iG3d7WN+YpAsRp3aMGxuZAR4dOvhy9QhBdvQlQc/yxafxDu
PTsAVodaSR4idcfxr87MgNItL0MRGL7FP20Z++KfPlFmwq+oBeWccR0fvTyYV3jgVSQApvsGlmTq
QNIaCrTLjr8VYZ/FNF030w4rPPqFwX3EPBLxgrxctvYGrA6KhsXlrRvnMImigQlXZber/zXb53+n
FazQb+NN0Q28fqzy/nHvbfp2SE63P8v1EM79dITvS1hWh1hOTPtbo+ynPTH7Wha4tN/+1pX7sfWm
OqyKVUIkRCrzT0tYYtI0GccOWFwsM7+zJ9Z1sef9bvH+Qz5uqCpNPhmro+jK/7iEdc5JjKAZ78tN
9U8N6wikPVE7tg6QTaDokZzL59ZyoqXtzJ079JGL+Mgpw9P2wsohiAhYzlTZN5V+eLVzclv8vnAW
Sf6kCkpQG5I9MrNu2e5iEzbAZJONZf3kV/Git5GXkM1rhJ2Ntjyyp1WUzXqhNDuv8gW0idQtwM1e
p47k6894I3zTu4KWUujDNcPz+EwmQGB7p/n9CDZOsDSbY2cPTx3IHNV6q2IWTtXQnLUDu347Xz9J
iYnXvTfQdcR+6MxtsIHdALwvi8gWKR5Qz4zVFvSI3gPJea3XNLAuiY9JmU4RzR+AN802WUa43NbJ
B8FsfTQ/nzzjviucO0Tq61ArbpOox/UikoOpFiZwS6Ll6XZk7Lp4RjpVihkLqIAlfBL5kqcIVDBK
esD8AzDaJCZpC7tmxz5krflAiI5AbVgcsbo/UREzR9h8tGOzd167MRvoFLXcJHlju0/FGIrRAS0e
yvQpPDBKffLX92bQDKaRGWrRjqBdXSMDB4EXIu7iWd9SuvDUFyoYMj7TdGjNBYLI8qxXIRCjG3X3
9I8W0ZBXHHKGZoW9dSBTnMaFeLpylfPs6mTj222EozK94CZkzmFhXD/e22jSt0/QjaenWb7j4ov9
BNKAGqyxJGhIU867whrVbqRMq0FE25AKM3etgaw6TS/RUh+ZEUxh1/GsoL9NEc3dX4ifAwdn1f1I
YofTk/KDyLGAQZsRMXdG9ZYMstNSONIfmJ1KUBmSZ9jQkUIJ+Ml1314nD8uzWazB2JyKMsUD2Uba
zNswWirG7FFu6pBV/k563AbqbXNr99Am4/eKWfCMjgjjU3dyXPOpBcpIPWFbLotxM5Tem+dq1m7E
PEWc5b6JEj9SU7/n5/Xy3heQZGZ284LKHvfpTWM/mAfJhraLfmCVz0+6H7bjUt+NibP7NJnsQZgU
aPVVETNV97qf8qmET+g4m5c8/zipfssVpob6VGKamlOPzrdwRzDtqfRiC5mp/IopacQ+Is0mRfQG
HQj91+jlceRciZmoEHqqlqmbbgPvNDZlheiHnyF9DtsYoRr+hBiN36eqP3fPp9o756PcnFO0pQ/C
y2GE12ZyNcKiYX8wILxKR7y1sdMXOuodG8hsQaTFq/hO5UZliyklYWruUJxFdAHE/WQD51NZ3hdY
591O7FJzuFq3eKHCSApkP19fYIjl7mPRrxo2wlH/FSFxZ3tcs02mwNaKXbMtWbOuKQdtVA/ZbtXJ
RpFoIxAsfj88XqyP/0PemSQ5jnXZeSsyzWFG9MRAGqAlwJ5OOp0+gZHeACA6oie5o5prB7UxfYjM
soxs/iqlWVWZpLKIzIjwhs4O77177znfaVBhtuUBUfQ5Ls5asgfo81+9m6OMGi3NQCqi6sq/qkN5
aYXFP/9TWZzrP/eI/3grv+2H9HoRfyHamvwJecJWiQYFA5dOs3fspvy2H2riKHmnhyzh0xoFLL/1
iLFYTWgRq4b6Q93+t/bD6e99+L/sh+yEuiKLPAUA83+/H9YPhZ0yKzlhc3yn6uJsheA3G/8OmHjq
QTtnDq6PckXptuFzn9LOWCBBidv1fTkGi8Lze5LMOX2R/LxdDx7Wow1XTxfArVak7RS1hlqeYkCf
NXMQ9hBNMN9GFG2OmBFmySuo3ZEkjuJ4AmW9Ok++k12LsJTKAL0x0MU+du4IPfg6tp8k2uLgVB1w
1QYtaYLLz3DVn+AtFTPU30KvKr+mFCLHobloGjNT3I4ffF/IZqKPWWF2fqHMPiLlLS/6jQNwrzs1
lu6TsQ8tHPYsSifs18uYLrknqlauzTFs32xlWfQz2ZWRrcyF1O0cuNbKlvib8uHUpELX/oM7ZzI+
lc7G001mzSpflsvd1R1d/3vRXL8DuUMngmgf2U3sLyttJNw334QbMazvljTV8cNYbP3xIkE3Z+97
6fxMt/p9AREFgWjK8mHTMRwjoYJsbeTLeF2McaKzhm5T5dxSS2IJVdi9mI890hUAApnvIzDJLJjN
MZnmN1rSx5GPhNv35uGVGHsCQoD4hiRAk31MvmAmFS/iNLgBsgKdcg2tTfWRbhWe1cuYXSR9doc7
YPadptgCMIF2I0izvKHmmEDAoRUoLqJJZBE9YKoI4cBuh6dw1Dp8hbYRyfYVNUEUgFOHSP3YVcbV
0WX2tqWogIO32S44JMB0nFDe2tNFd4oAM5TnSLOE1QPYXJ4by2Qn0bSTplZ+XWVloO7q6T7h+OB0
23x7tbHKab0dGmZ920QClFv5tfPzTzYTnp5JbeuYJiok2qdRsVdN5p38dc2z2WDT+HTELqTWwHuV
G8ASGTEkktsjYT/cj6ivd7f8pT7TjkI/rXMfGuV7VFDXMH/iHSJwPjP++0GQAND6KgcZ3l5IbWUw
0Yw4XDpbD0T0H/B1pYh+nKmw30Xoup+3jXpbIWm+ySdEyU0BUCKEkgD4LRhvPXs64A3CyQa5N1+F
BDq9radQ3Na0PrbGST9lFlLFVX316gdo9E3y3F0HGPTDYeqNVDzyWWmNcFqY3956m2t8SuLfh7J6
XK3kaesvAPwMm3EIwuYI95yyqo5Jt0myN5UwWxtpMZ62uw0xY7LlKbx3Jz76KGYIy++etmshdrr3
fn/VF/GX9hY9d4a0RVDOVDjLn6aRXiSxtG4oX67W9MYpxpXbKdGAryq2bEY5+JZl+ajFLvInWjQP
1SuWmbqBEIslrh8JZVxljpS9dfObgCyUs7UzsdIVtspAujTzEkVorS9S9V3pP6Nac7EB5vo25hJA
YY68m/PpxE9f8hfGtiqz6AkQu9t7Kx8V8fz398j/s1nqX6up/29MimWMwPxhOlH+LUaY9c//C5PX
uFV2H38efPzhZn7bJbVRrWmMRuFfiryfBh/aj2RB/dfKkILyt11SMfBeTVBF6wp7ovLzLqlADGPy
wSBFVnF6/Z1dUhvj+34rGn+N95OhRsCLEMnS/sMmKVdhb0hRjk8JDz+GKBrizxtsQbztqFC40sFk
Po/qKbrbabR9Z2OTnmvSJX5EhBQ16ZcbJUhXUiCsmcphagHBTxmRFX5YLK6NNVAU6casbtwd9OxJ
uMb4UcRLuZxjsYCQ2wApVJ2Vc1aA/6lODEoR9Dzmou/rTEN/BFLeb6i72NHKzr3S5twhpsOG9QsK
hMzJ6Kvc/PKI/1vR5T8iGpv/8d/JTf+rZ4LiHm+dymR9pBb9XD7X97TR+yRN/FsLGn9KWrZOJDOl
dDbLEHJJEMfS492FwBPpc1zFN7weUxvXGHu0zDqv8jdBuqjZ02QyJOONNgxioCwldLTWvhb+A7RU
bD/Kwz3dkhCSkz7thLWrbSV+sd1uJRzZ+arYi67wMfkepx3fpCgN31f/5k+sfcxsw9eb7QNPzPQd
YQ2hIB5eNflDAvDOSMFAbOcYa+5IvC/4Dt18ui4F7ibZkeSCXkn44eHmEEQICcItOPkpXV2myx69
82BwapZU1Douj/qK0XoPfY2IQQVcrejyNBi4Vt7SVS1x+zGsGnzPZpnO3jJfhbb/qkFAN1s0skG2
rzFXm91ZGKdTVKaFMw36Begs5VsJFPp++/Ks46RDcjMaqqXg7SoBoe75L04X3MzjexA2N8nk0yNz
iPH1NjkjuzSwGK8VL94g4sxFjxfNniJKF5yO7e7WzEPk6nigqS03yUFDxy7rmLn466Zmym84beEb
u+hL37VgnPt5O5dOoU1wBGWzcnWGMQeDYAYk+nHMBPBqEeSnvNdzAnMjpl+qMqsvrfZEbbytotku
7jY5Qa6MeiLUMs/WUpcZ9MdoSUaEsBQOPT18bF60WqkiGyrIURfV9mD1RJ9Do1qtBmRIQ+wNvv5E
U8pcL8Y7Ay9O0QFmXDI+0PJfVJ8kfSfHb4m0wfwbN69KnJvhmwZQUwDpCQIU+me5r1rKRvNev4Z0
zzfF9E1tRup040uSDXKUmIjnuV5Vnyosk+mnXn9ViDijDaBcbM31awTmiOmczLFWPCnpUsdukCjk
iVjAz2CVwLU4XJdtsQjjybK5vsXhLKUrjsCZLbgD92S+qfSJpWX41VntqXWhqUqlI+/7E+BaV6PF
E9Hi9ye19VPf7q8uXpbDP61iMpYTgzXc0DT5D6vYgwU4T2NaX1yXYxAEWZhm6tWXDKpKSmrkfEov
/d59X6e4MUkwYNb6tEM26RRlZvQVfamB0vEZFcE2mZd0caJToqy70bUBqEvCxSEl63/jTou/nzn/
2rDTVJkgPJn+4I8V6SeDbZ8LQ0e2fOLfmUYw76sHOtLaNl5ICh1nSVgwF7gG17g4PsLdQFS0PkHH
+p+98kTnPy07pUdvjcUJEeU38o0YAgzvA5uFJ1qh1d0I6+XN770UoIJZqw6/tUAFoQ7wPLHeKWzw
qtMezC2X2Whst4t32eXzZG1cN8Pr+Gf3ii1zXKAMJ6RlpK1UcCr3TbyYLpF663T7Ce0wvPyV+/Cm
m+AgOfwGLEbh1rBtjYO/yTJz85MdKxEYCmLvSAOppjaEmQW5Rc2ZWmJciYQ1a8cIB4M9ZcNVe7rV
q/ZwesIWQqcs5yxAfLogPYFBCBwFXiAG82f6eU/QAj9gkf/R69Dze/qBT9qJYOWQllPP2yNBQed/
79UorZGFC8sCGTiAMQhzvewqP/jeH0Q0CQU9UqDGzf6+MkLDnxJTuyuS5aFvwmVCgK3TsUh0fpfk
8MsZSL6mGzh2WnsIadlpxUyZniLaeNXxQUtvTD8sks0jBnlhM4KHl0T77wlMh/kmLUGN1mA5MxbP
TX9iWnkvFuPiAQhJDWey/69fh6OI5KfF49fLUMeYxglNJovyD8yo/8QjELUPKcum6P87noDGE/dv
R6Dmh+ruo7w96iSK2z/883/+/3a0n4iKNsLAaP6MjaZ/PAtaftUfJCRCc5iVH/FXdo6YXJ+ThmjK
r67/ixnRH275t9O+CsaXftsEXsIoJ/pZ5gSbAQQwgIlfEhV/Pu2DbADbRrPqXzJZf+qJjZGrFALK
VIML9LdmRCgt/2qnnKDaBA8B2EGa/iHOe5L1RX6fAqfUuyBrbJZFTmjRDPTYRSHLLdv0SAwU2lfN
UhfWE4Tl6PRk7I8RiBqcMK28eMJPSAk7/OiWVxIJapf/N+p8WjAbGMD+6nQIIN/0sNJMFg6AJi7U
IBoXiYMSk3wQ0+BCfi/WY85Dw1A63ULHbXbNPWJ+S/7alRA5FRv0O80uUlIMWnOKiNh9Rm8sHA5P
3MuMTCexhRBm4sVkN7Uw7nVr/A3/CDHCyGll6vKFtYEs8ofpee46X1Wm6+5yy3Mc+gxMYfkgiXHs
UdxiIZy7bqcFtWTzU0iUreTTkAXGh4GTmzKolE8PxJic+ekT8O+II3VD66I8j/cOzQp9fWkU7CAQ
gC4ztWhCRDv5Po8lVDHgIsnX82Xko04TU2hZ2B5G1aIFOUwGWCk/YJjjHp9+TH3pHmj+16ieYTgT
gICyC/fpQnBwOOC7JDwxOx8P9w9gBgIj+xy8GDA3zvPjOH5M4xr4ypE3ChWGZ2O5xypukRhkGbCc
EevwtBxTjvT6dLDe7/aXAEPgyYRMoYWGQ391O2s07Z4DGSMj7WDjiFb4MQXyQ3eS6q7luGjmSIeY
eQFAnpfn0COxby5Y+3d8KceQ3gsn/eBd32V76XtyW9F43MslOYw2Ob3TscyBSSWQ0gO+lxk9vaQx
T278K2WDfEqfDs8yT3efLn40SGnX8u0JqYp0TqmQRrhVuxiY4Rkfwof0LXzob2MgGDBTuFiEi/Ee
bG1UAN+cS8hMrwkzwLBF/l6azvCqjfqh14sfYR8g0gP1BEYiDHKXB8+fYb4P3DjxkfRLYS4gY8KY
K8CIuzNS4lmqq61UbmjBcpzEbiYTz0fIiPV8qxcKNdRIIUl5cjh58HLyk+FrjQq9MfYDkRL1Iv3J
CuEYlpvnOoSolJhPEjBzBq9eSpgXb837nDdQnNMC4vGCc9XClczMrnmizOXPQnkteg+B3fWk4l7Y
Fcdb7z3xwRG7Btbjbk8ns0pz78D/SVyjpnBFWtxXsM6mduPR+ohk5tmpWWmBYrX+ODvkOjbFUze+
mxj5mK+ExQNzfcwZ48n4/3ey2+EVoCYkDcnR34Q33lgW9VTIhT3B3AMVNfLhYN8fXwN2GpjeLQkd
SyqZwuVffaCYm/vhuU2/+pm0H1I3m6f0Z69u/XIVx7T5Znnlfesxh+IdT9bovFg30FhzolHaF3Fe
LidfJb3mxpIc4SJMzYFbtitAWh3tBHqhtjofQ1RInV83S+MYMZNzcicNumUerCt6wMETlaBk6SRE
cSu9DwXQjuaP9+sHImPn/iLu2xe6rYt0ntnluz4b/xTnfDujc3qTuC9r21XOVSA4e9mmwx7cE0dd
TBOSklInDwaPNwvMlAvhi87TvFScURF/8ticajfsYhd2ra+77YYWBh+m5Cb9rthUq2h+3wNX5wLv
VszbrieBGJdZsde+mxWYqFnr5zuymmYyKXi8I2m2kI/HBZFAC5ZR4IwZeYpDmB+CM0JTHwRfN6vr
qdhMOUav+v1wlqzwu1o9zlz9ZhSkjjh3n0AJr6WdHYmF9fHh4jo5NMW4QEiJV7MoPYiyoIRKlmpt
JeAOJbROCIsi78HJDRxiotiJSAALkJ+JI93e9RtzUOsBnSQSwF3WAHM/gNuMkMUJjdF+tKNLS0hv
rIBJskl5TLQjBsGPyyAiKKE4TaQFljLR652qC647GS3MB63lbkFbmV7yEzywaikcPmecAzOscZor
yHtlYY2wjVODWRcQmuoPyvIGcyxd1lT1jASgqq+Sm6lwDd5MhAxBV9rVEeoWWUYYb2nCZtZ0nXZB
LtmK2xK1AFuHsSPdVjH8krlk0uU9Xj4uAtwLdXXN5mHtDc3WCL40YhhHmaUC7CJIPSRYu6E71ZdC
45kj1FOXeFMIVCVUzfGSKJh42SYIOWnnYq0hcfgNoMUmm7B4eyIKJsYM3p0Xhou0IjsYsAezX3RQ
XyJ2TURhzVZ8OUQkJbUeioVZvI3cCnVktw4bcw5ymE48D1je3p70BNTC4xlbMnHAFAYxeU3qluFb
5ylv6eQj9MGOdLeTsJSp7rsvZmAF1qzCuyFIIsYzFdYBkSMqYk92hwC4DOGx8W3qTBRhRqBcWrr1
ZfoJrZmU2mIApo4WIrvsokoh1+rShNPZ1xDuNKh9hCIQco5yEMiHsGx8zdgWtPG9yfzliuFN9Ekt
0dIFuLhs2UZ+/fW4+bnEUrO9vk95IJFVzab5Ml3HQerWh/5L4gpL15OJOcy0++KRbjvp/JKj/MSr
vCDqhJcWL0K7ZICO/nDycfu+c1SgqilX/EXIbDI6YCF96Fdb2HSNlZ9CxoGhX8E5JI/ukVnKOl2m
B6XaJlcP5AupWi88/1iz1aCA1PME2AO3R0hWI2A0mYf6/sen0dOgoSDkx+wFaAlIaYEdd7Nubtjf
hi/42VeIKLPcZdPFFHAQhU3h4ZqekfQx01YyJeb3A84Qg+4Jwk5ZBDqK/HCO9JVrIecIkKGE2JCA
hiuZ5imTzLGPM0MxRowMhWm9vZm8XPfsSBdIi0hRPPFFGbQ4tMHikg5rytLDcYeO2mpYEDsjuZLb
7A3meoucH4NOANQSsIg2XBToTmtadtB/FuHgKoX5gNBEltNsSvhcBiB7uJRoLDzILeq2X4GN3NfL
KdMPB5FAz2jnjKj1QQNlriyekau/Xucxo8x9yHa7gtud/Mg3rfjE+Cm+9mpC95uVPAZnshgzJRV3
FNPBiKIpHNu95KXPFy6JWPSH8FAhreM8UVkw94qpzTQoQaBskTSzf6gkZnr3JwxFwifTT0L5eBPL
m+SVVpX+Wgt++bCrCx2raQ9fUULeyNpG72W04PdgI8Vwpn7eE28UAIogN1b5ha7BqnQngGlaqloy
Z+epMI8P01WBxcXYT3r3xvgnQyOZbnqgPL37kitnlKkTYuFsxBlZtkrt2cgESO0avq1uw/syFldr
ACZu7H4qXv6iISb+fvb9S1v/52P+H5rZfTu01c3gmK+y5UlWc44qNz8MRsB8jzPKL/kFv6scf26e
4zf7qYL+808bP/9TIytNMimqUyOm+vfpDof0eYKuIR6o5oX5j2F2/z9F6oFgM055CDUQZQqyf1ym
jrOnc1d//VVawh9u5LeKVIMjSK2nT6UfdefPFSlWF4SSGH7+rNIgwkDHW/erSIM69reKFPmjpBvS
hC8Z5ZB/Z/4E1Pd3751/6b6MnEHdwMYj/eGdml1ryWiNYlQtImkHvaUs1dbCNtdH9rOfS+9tMhw4
su+Et16jEHnS+A7ySWjjSiicax6tLtdmqfS7p692gt9uJq/VjhGJ3joctEXto0/3goid7TuMZj3Z
bwIE3ZHdFqHUKpeZWLj48QgXfqXRPnFElMDafigxTAMKR+QkBmI/H+K9MAXqKblhc5EQvvmGZzz1
WYeQAqUEIPzwnVyDbAHjIHWB5bceWubUhRI4kBRGpTP2EUkg+SUPSlNHDgWVLrOhnrR0+4q0ghu5
/wuf4v6GEZHWJuVG59SMet7Etzq2K+EorJE6IK1QP4CUn+UzVQLexB+0v/GLQrekCK0nGyoM+qzg
KvpwXcJvy3FRUCuciVCPWQ64zXiD60Z6cIoM7eqVjDzKr5isvDahKdqls3EYM94LtIYdjFL3uQkb
ZH5bhNUx66TO9ko3FEEjPx3wogQEF/k2tDub7xL1WVbboaeuRXWHlSmSvOLpCkKgfY8la8WZVHbj
z8IvTembmVM0WcefEt0CIgkwWeC7nN1EYIELDUWo6HbyltoX/QBDLGob1ZGutflk68NvRM92rtP9
beCPDCatW//BBIBGc4cejnewF6oTWwlX/Ea5cw0P1wLe0u00tfl5ZNKTMN/Qh25wZ9/WUAXzu11S
qtlZ72F5aXgS8XO2FFD413cqpfRWXEjnbpVTIlRBOf7aFm6xlo/qJTO2GW0NBvPNcuxu8MqZKOb4
pRCRXR7lDZs6Q3/IaBeC3WxxoVhTbUFgOSJIDkgNNGGMH2E92BKIQMPWV5OrqUJu2pd8/LaHDr3N
NpOTsuk5UpV373YM9wb1eziZR8VZ2RTUqjUWgUx0FL8ivR6d6SpcTKE4mxOOwZ/S53AKNUcj7fvJ
lo5EyOJEbVWp26S83hzurR61yZ1B3MtkLa3FbfPWfRjX4P5armtC4AkkmU7XDIqet6/7q3C45l8M
0YDFSP4Nis+json/VfY1V5Mv5zMEwxoWKZPfeKhapAmCOWzyN0mbRfWsEl+VF/1dJ+DvqUxNjcAI
i8ih7GHp+SamCBa945GmrXMUVbNriQ6ZIKfPCYEEbPEyyuRJfi0396DHutPYPT1k4u6oNSjuOMzY
KJ0J4TaNFeLVi0ZN8anviFIlee+eOXAoZLjapd2ryztxjlNiHgdLJQ7yPqcEioECTwZEkgAzSK6F
qqGXvEqKsqxaYdvQ1sHllRLLro70fPnxTtJc0xEdB7ZhhYgzFe2mfbsFQv0pSee2X96IqlSIrMSt
7aqCmZKeW6jAwuAlaNW24gyuNrtVHzwDBf3VizR52rSvIl8a6JYscX5NPrIb2qXvK5F0llzMJ7xc
5FnxxFqyp+j4mt5SwKXucYRCsNaEt+2g0m1/ucexV+LeIcf29p2JvK1p3RRgfTa9vpFmLe6nlzRz
u8ncoN9EODX9CZ+J2J0YdJ1CfqY2IwR54tZzTVkBMOAyQM/6nPFNLe+E1xoVkXDbwHVwqM0jT4jB
Gpy14hT2y6+kehAhSCE4ck7uopumhMcYO8UeiQIDazoXF8fwz/I2uzZuRDSOutMFWAOCzNVCU6bw
9OpDQDzeY5lAQcqCQrDNjScMUXVdEVicfja15kTg91W8LBpKd0x3jtGCgjpcTflwf3+8VMBo6oP+
8AQMZPQ3lvmG8rXxz3fJMx6U0oth8HlPAt+Gqx3dQdI4iT670csj+5KxMOG9DFbh/k+8ghmU3tkK
KSjwRQZqKxnr1RaEebNJ231PTnw8Vy1NTj97ck2NG80ys7ta4oZpUpfb3Ry2Bnm2wstkxPRwvC2Q
CzXrKeGJZiYfQzyX8200FVbwY+38QXo4Rk6GyXo1M+JoySzDTFcliZ6R4FTt7vl2K9cxnEz6aAgI
GPGjNqRtxg5G50wnvjDo5JP+xqf5Nwsun9OCUbRXX6Ho/uJYbFh5iK0RLX3DAAGtn34/Th8Oxkra
UyaIuxtW88zCVg2y93GzCJRR7k7Uf7XhtzB9hfnYx8TJeE04mD1C9XIPaqpjTbkOaO/LB20vtvXM
VWh9BU96Us/aywPheUFGl74/EE9KdJn0dn3t9zEqSLNHhA5gNl5PS9Lp+0P9NdG/I6r5NN3LvBzZ
IVwZm6xfXvOLQXgDamzRoYq7OzpvHNJpfAh5zwvtWr07Zcv7j2P45Y6c22Ag345/Pt+UMXOoe6mX
jKourXcL+tXAJN2/1pa6H5CJT5GLp9DmEY8XjzMLVfzGNB7jgdscDb+ZPeqXibo0Nt0s6VY/Tnf/
lWcyEgZvVEu8uRl2MKf/x4fdDQOZ+uu7LCCx78r7pazLP6mu/nhrv516dRVFEyQ8+c9zGNReTPlU
4hX/jNYWmcAYyI8Z4hBi87tT72gqmmI21/gC6W9lhEk82N8de3+UTBKpNxPECsyDAPP9vmR6KIku
1xgEfJmCFyYWOb7PYp2Wn2hGVID5hXKRmsTions2QVnMu2bxCJELMUMZYxN/ZEDUx1IPFHIDaSNg
qx0AVn13hvvA4YkCcrLFoZJidbEMcSFUgp1Ok9loMEdhyMjbvoq2vFaxmxjr9FXbikQfpLMEr2pa
fIXPZZGhk3RawQh6LK0BDWwOhG/Sdnhw9c/b6TllxP4u5Guo/73g6hpmm5nSYraOPFBrMDdFY33V
ostU3FZXX0UekHE4AEpz7dbK1nhJoY95nBmj431AqFQdovfn5UmnN7mPmmH/PivpEN+PpIah1fAT
xWyx2Ha3bBWqI22uIgdBMZgQ7TrOSkN7qdpLi3iIDhMbIZhPpieo2AwPQxGG9LpskbTNdUIva2Bm
j3JVsbU1xksBtOeOZ4d0yXl/XSRnzt2Qwcz1ZU3+zpshuEXBXuMUUD3obF7oNWvqMXH68KRrS/Eo
i+T+umiMWc8wwko4alOrbAvT3Rd2xrI/CSJYxdIXBPNgtEZy39kMeYJ4IaOqJNQDLPMmHVd0/tMf
K4xG97eIrEuFeDbUNrnH57WtxtdDp2sx49YcDGyg6+zQbuZz7xfiR3Ku9Rk+aph4d/e2ENbX/Xis
7775wLRNN9XhfrnPDDK504kpUQ9E7mNeQHBGJ1ys4ufm1rxxvzpneDjyNQmYr00e6/zq17Uvysh+
6bO314WERSM6P7rETV+fuKJ4NMJLOKK6j9Vg56/j4avEb/WJsNe+DrDUbm7hgfR7BPwSA/2Ecem5
lD3BLjwMw/QUERbJt/31bmFMV9OXGy2/RA8k5LjhjionX3a9+xhAoqTzB+Ot3lWVVXFbTLZkZEyI
GAVq4IVVTYuScold4t6+pMaKk5Ve7lIo8M0CKYeTLXjteQAytZYYYUcDxfIeg22TAtlNGGJMH+uS
x6iJJ3LIAXeaUgba1WkgLklqQDgZkcC0nUE87eUJXhyrwubLQUpBr6JNaL9ZPS8WX8wPSDvITs6x
VD+M0Fnk+VuabYdZTG4Fz3viJiDv2jUvsZwcZHEerRtH2d65ijre5FQ5Ae3/AGkfUsRtW+yGytPG
16tVNyWGnooWpxwu4Q6qxnqizqVtaTBosrOOQpZGt8QmXX13DGsfH2yqhnTGATfS82NLrBE8eyoy
dbU4E9YhVUdVdLOG87bilP33SFsgFj2iPanDciTMvRoO6PvuL8lxGs7r9xY8xXUlIeM6NPObPfIR
b7TGHt/xXusPueoyJ+Zl4Clo9K2s7riGyXYHVSMx9aLURJ0dhE9ffOM4b6G7xhug60E5bDlFd6lk
E2iFaKufV8O2jL6ksrDjx6LLLlk5KzXJ/cdJ9sIBGJBupYvIB8gzi/w2iBbPrZF5xQO3bWKBXeAl
YRUxR4d0b4LwsW448BOcY68co0FwVR9XjmisjlenU61rDSnDvO8in6JkMNZ5uYa85hYzUXfr3JRe
CBBROLf5EzzbQIFO4YJiTZIx4JmMkD3ElJ8Tct4H0nLU4FbPma7o0gyvW/iJsi572slS8xvZfO6k
TbKUNrdZwYp0d4WvzpXWPFTlRV2WbyUMDMAXFlweGD79zRK3Ex3KXPZd3bkj86MA/Uvnoyrr4nay
1g8huAEsdIJZdssstFKdQYs3TZwY0yMJ2dzJPY5AEdw2Nr/su54lnGHNmoHP8jkX55lL5xtXeM54
F/cJt8Y9Z8LHCP+6LtaZy1vw/bEcVtqrZhVrpkPFmjgE3wA5OhwojMgXGy2eE6ZS6e6SmCXTZ7II
LcNN5gWTuunUYSm/vojQSpvtfQ/v07zaU55IAMsIg/a3GxzO9Y3rr/Wihbxtv1O//Hj2Ng54LkQw
/ISte/0l2XLTF6aiR3lWkeuD+Wwww308AsiWuTi/3iAks1uavF6c5LCr9haFJOhFaXH7xmiID9C/
4o14v5OW4/2IeZzpVssbpYBTCNFom83lVTvPiVoyeXVv8wZJqUWbbvpC4TPCI9BMB4IH/N6azkae
OYOB2jytaBBtMXxTqjHvwKjoYC9Z0lnClgNu7Tv+Ns4RyDm6VKtoGc7yhbKmUN/fjvJSWvcOmlKO
4MDTC2tEyjRmBS4G8RM9643mQ6GZp8upneD05M4tGVVi7Jj1P1IFoFUm6CryIHcyJATtkTAZ4ZzT
CKD9flL212/e+HN66r6wm5LLiEdCQ6fptkfeATusKS22ztznlZA+v7rTffshfOkP/5aPoTtwHzHY
euRGOLrFDJCpVzubLgikiFp7Qr9un+ms7yQPs86ZWEyF83RPkFF69x4b5VPx1V34Od4hPLELmDgc
XiaeJm+eq9uMFLql4m+iiOdknEtGB96ZnuQ/RDwTl2jq3XBiiV+T9WMjbT7q2W0eLZQXsIdg9hHc
bvMFJaOHKbZUXplcRczIW0eRSbcMzXPsXJ3zaqWgs0C+xjFedrIAQVrONEN28OAz4yBTaDtdRxvU
JdC3iLZX1slC3D6whA02LwfASMiE+X5qqkhZN7g3NelVDkBysm+nMwgvdQXVo7HFbfFa+vdXiaSD
B+8JRiYu8H4/yi2ewz5Q3xnjJ4s0dXZcLb66HKCUcUiZyJ+dfTMPOTHaig2So5vr/qNkTjWh/GHy
Cj2S1uPDRqG/H3xtdl9iT3qZzK5OacuWEShuxNnGrhnW0/3qcWsx3kLSsmV0Zp4I4Ku2QHkGyTYC
2Xm89B7hsfKhAqH2HG0w5dxY1G5H837BsYAEl8qhiwAQAYrCiFjI/NKBqDnyGp4byDAz0DvQMuwK
iMLVi9zJrNE8tbObH2wNEpPW+TrbZhA2HrSnoDHEwW2ZLYtluMoOxLzABczd+r1a3977AxFKrgDn
UXKL1B8kk/uwU1yVRKXbjv0t/ez2/Spm3NVxCLGvKzIImb2S/0H4hxAQ5cB2GshBS+dzX/nkDrpi
oIHKLP0nW5/NwCh8a/a3lR7gwKPTZyn6bCjXWrwrshfxa0ASfhiwlD280WLLs4QBnrAQiBBPpNlu
j4wit+kzq4SWQXObxRrCH5ev4i321G3+3vVeBAAIQCWneYv1Qcg9HeZutTXeuRGGziV299OErVaC
arZMGnxZkzeiErPCGzpGaiMwFWW49Mbwqpxn0TZs7Bp6hhRELBwZJqPxR0noh/CFcdhsLC1xp7eA
1ELKXzt2VLNCUW722MwGK0uBuRG1YYmJL7Jv5M6tTVkOnY2Qrxo3abCh5TasugYTpCNeZ+RhMZ9d
3qGiXmMOr2ZGhNbL8GYslXXOeJ6S3AIPbaUevneWWmT185AdcZSn5ovwZXCzM++v6fpIQCJfSzuT
ZQYo/jy0PxY8zB1D9Mtgq8Hgt6tiJ7IrGwAxScD1s12+aa27U7+z9k3cB5dysTphwSIG405fiacX
/s7gwvQ8qqBQ6EXbsXu/MI+diTPSvsjqvFuGV/lPZvtnXoBTZn6M1/uDSwOdm9W91c7mKHtHIr7d
1K8W8WpwPz5IbAOeQivP5yA54mv5ttXhjkKMw6t5kInU4A3AWrxh0+HBG6x8lAjBPRhckoS8Cros
35LwzCATJo1YWzzHXcvLFz3jAYNlEtyvX+G9tDcftwstZ4scdXNiV1ya4GWYqF4js17Vq/6M/c3g
0ffQgmg/bhmdI1BS/NsRrlUxK+ZI3PzYRXbj9hf0PTbPnZ9wx0dCLwheEXaq6jV8mI19/ljH3/CJ
d+NPHB9P6n9s9rsenhkpbeP31SaLymQOicdGeMtTRFALiFa0cTwQYvZ4WbmYuTV9pZwU/5dbEVh/
rqvrihAD89cWWtf4bKIeMgZrwlUHrfXHYxhpJpIdI7rgcn7YgEXh7ZZ+sWqgnsAg5qD/8M/sSiyT
48oKEwlBAs7EHtyN5Cv+lKwbbYRYgVhwANZQEMKKmqVLw+H0xrv2A/+E6qnQEhQXGMIc5Zh1aL3C
iuxvVOmzYfZ9OJ8K88gzvQLFEui8lzCpbrgQaRByYoJlND7M0L3NHhtd29LnMrPL1K7sEaNj3M0G
MKO2KGbhrHzTlwZHPu1TYQ9m1/bLJRXqLF6XXnN4muOeO55Emh/ydMYydmPuE+5mzdmCED+ILuM7
BofgvJhzwmDDi7xxi1Odzh3ZuwQ/29UmbB3Be/IidG4FYFf2/jd7Z7LcNpal4Vdx1KZXiMA8LKoi
EiMnURQlUbY2DEqkSJAAAWLggFU9Qe9726vO5/Cb9JP0dyW1NaQspV2RttXR6UynLNEk7nTuGf7z
/4cQjiHyqjpXZhnyDEfrUcEtU/JmCBkh3nfn1Zr+boDwQ0QkANqooaqAfxDQ54JjwH+tFX7POT1A
bckOpX52tInIEOAjNIKoy9M/GUNjaE+Ti3U357Rxlrw4Yj+zg8uQ5HrTN5kVu+dwqKtW1R2uaasA
0RZsGQhUjt66xbY7ZctyRIRbIIQvmi5YKIXY+K4Ugq8GdzxkYUglwZoBSOzWjRAsRVmUnK6PlW7c
AV5xJMTE6VzxyA8EiCrhPSlQVLlKV+tSVuksQuMqvqTI0skgIOuYEBkE8N23Vp0NL1yeLk/5qQ3i
VLkoz+NOeaQJ0alA+KTpkGqMxXXk03vsX+keIFQPF92fdzGURCR7l37MFh2j53WIWWNfrtj5u4EV
VJCfCRhrQ1lnF+G1duiEiKAHWQJFAygW6N6+J5qldoGJn02cGQq2IuA+7hWiHgDrjrn2Gctedpdh
KmYR15tlSaPlsYKQ+pzDzm79pLtDOszJOdJH5o4HfMKeOYuP7AFZEWCWJJ95M9IH7sDCeonlFzBa
EhUb0AU2/rjSVSoXsBHN1H4CQE1pwad2JBqxeTAY31OqcJQ4fGAT7BGce2Im8vptsKe9ja/BWryH
knRFLFViVT+BMal9I8pvmkiJ4Dpkd1jsDsEhJdbX1wPFHc4oOkBOqkN1XYcEkNguC8RYgs+c3CRd
cWCrm+WIQI8jJ8wsDchwolUBXj1tDWZbx9LkyG86AZxX/Lz2J8Qq/CK6xWBugz4oFB5qFyqRxt/c
+QoWy4rgU0pG1tFiVHXGYYw6ljAWc5aKGMFV+kKaGVRbC2Yp8K8kZ9hVG+9MWPMzHGsWhrqre1l6
lCT2gu0Neq35rU1tPEz4BdRm3CLiDrB5CvGRi/5i6KCAJG4b6SQfmcd1OGeTYBuwWPoArkWKJcIF
gQ8HkwgXIAa96ViQt7PprwW0l2fyGmo9BbzUvJ5LZA9WixoYtUxhLQ+9si2+k7ZVbrE9sktc/uJY
Ju4scS9wY9102kykCEFPV1SBxDWn4uY5nQmN2hhyy+It0QDDgLpTCTJnNTLI4qEQG3zUAU37XZy7
II/ikCyLXwxNvFQ7NDDr/R7XmYiCxDr18EkgcV9gg85VKD+QbIhynD0qbsW5uQ3jcNdFlDki0vbO
cbKORRi1xaZARcd8meJqNBmu7rLKt9xluB5tSLeF7CgFeWaB2eVBewNBE+NgT6DXjM/nM2p/XBTi
Os/7ZDM8lToMPDI2HiC3O37ywsWxNcO5J3OHVKP9zTawoVSHDBIpvp54fC52lpkJZGL5QJ3aY9W5
uIaSAcOUEXeSxac4CxODDz7POzMHAKgIdTkV9xmD3SfKaWxZcc1Dc8t6gjzygUB1lgFFb5RAqwh1
UFgKou3RuoNmKxNYjcZlsFG5y/cBqyEosam0B5K/c+srCiKRHZTQjVn+CI4gkbkdIakApxjlfhoW
b6nWBJmZ0LGj75D0qH5CBYaSGNOMPgOk3JT966DilSYeed0lk+bAkbaIoBO9TNAJgXTXm8O2d+jm
rFbSWeNpA0iA/M6vj+2WRseOzPbYwj6KcKG3IhCFGv+mudm0NU8JmGz/3HY7F+41Pq4vCO81jr4B
/bvuD7YkOGzfJuSk07WFqAdfU/SFd50dXQD1xcFhyoljSVtzSmSgHT5vzEILwyGsgkOVf30FoQK/
hCEju4rrJJxJSJ88CO6Z7q13PScPW7qXV5tbDo0drVeGS7mOOaGkjN2ds1rL0z2LC6/BTdlWQNbL
oXBkzFDzJnrIN9rnAAI9u2te6BfmVYqVgk5V8eLTcX+JnDisl61FNL+SQiTTA1JogdwfKacZXyK3
AqhXIKLNCGYd8sQrdySWBJICnvuSUnbQwJexY01GRI/it5NTyGxcHGDVPRlRFoeaYCpgm/g5Y5di
ZAHp8QpFGPXq0JL86dq7WVzqcXgA0SK15mF3OibaYovDuYdyjS+o8CL1RPDQlcAJlxyyk5vpCqMF
fyq5fAP1JqMtyOiQ42wfTqSwYhxqJLJrO29qBqM7djzRK+C4H3nAOXVXyByWCDMeS77sdvqTOBQi
6zXukijJLhmNOjTalCHwoyAKFag1csYuObFAh6VR8+DOu3WbYLZbBzkx4NzfQBrJno5iHwPBO4ht
bUHEB5XePGRvRlLvENE7Hm5aUg86El4iDsDBnZ7AwsJ4xJ5Fz6V3mbonJ2KzivdZezv31Gyh6cim
VIhy6Qnmq83ZfKrdiHCp8bC2zDa/CyvaAMWdUCBsY2WRwDgX5w52R0wc8r0FSZoxuhje9dIcHLpO
u1kOUBy6snxDv4AAUr9Y7yiYyJfJJLOoJJL5LmDK3MD9oYTfXtl7mSIB1N2X/qx/vCPiPVHEUkGx
oZJOH91rhT13Es+k6X//8z/Oi5vPv79Q03v6Rg81PRt1XtOw6aPSNENwIjxQSAv1KrgSHGgTFFtU
0x4xKWh0Y8EIr4j2KZUfPUKyiRqgY8sWnVCCiuhbOOn1F6gUHs/B85Jesq43zTZD+Wq+Iy5YkRZF
qZk8uB5uHIR/UEd34ozmdu62eHGZx8XVOMWKwHieQHy+PS5kSOLpJEGbKibE9839SXEKofMK1vQ4
blk4vtTz5iN50cpPtdbhXINnfTkOZVjX62hLvYIuqFuBiPxG46Knr792a/S1C9QwihtgDWA2ciWC
0RYsSUlxC+kfyPbo+BAVMb60SQiUBrI7WenH8aEPdhpKlzloKptYjQqcSl/RDcwjx4vTBU08SQgn
7py0HR8vyvvlR9Kd6rVElW/rnBZ4imANGC+BKcM5hm2XnAjfQ8liD+jlurjJbzJegk7VJXwJ6JLg
1OJyLkalA0cviCwP/oP2uAt41cpgYrA65QAhSWFbM5JypBEHam+b7t3ddNd07SvYN93zQxvH2e5m
mr9bDWNzpOt0XaIvO9iM22aYOq2DBenZ6v+ZUcCN0sZInd4Cm0rz+tdL9UdZva4+DLPD5AVG+Gfv
8nCcDYPDqoAyFcqPGh/wcJxNBZ0Ih1OpKzT0Uzx/OM4GvX4IQugvtUoqHHTbgFRFdF9+U6uk/gxC
fQdMhQ9FGBpENFHDeFqh14EDQB8qLdr4HuLqdEA5Sse7YNXHsytD2tMWg8QIoAGpN57V9Pdar5bb
9E5AJgZ9NWReaN7LtKQh67jdwjO70PuV7qebPUoyHb7Lj53iqNY6u6RlaifLed+UW7HjiYbMDXVI
pIknewrjtM+JX5u+Zre2DS1W3U1fXgf8WUXaq21yREdaSBcOzUJCTPnQJx5zqKF7V/Vw1wdH6BsQ
BCetHHd482mpDqozhQznUDZdBeLJdkFc1k5iP137AGf5UXUWQ09F6tjxJJV+RjcZRxn6z3wyevNO
a6uLVy2oWJVHNIPaNF1QDqBVbgz1SWCqEX9xPbCA54MlpSLneOB6+DeTTtGarppwvqVoHyFDTdfa
vleSsh5osDGqrTmR9I7OiOsNFQW1vcYWQEYx1NadBEQYAYU2UBcDtW5dO55R3pS8imrcfADjOiW0
VURzIqSUTR6l1DHWagvU4Tgk/8b0zeH59jZmq8Kpm/uQRJK4kwFb3RRES/BINoNFNsBuLkf6PCio
ByKFtCfgItmL4QIUVwMKO1M6OqGV2UVeGaCaiNdolrevyfsfyEkzSsS6mv42WJDOPYTSiYxunW5B
Dm8hSt4ykdet60heEnCVrWKEzJEgBM6xnVQhXL0+iD5R+xjxNnoT7XkAufheOXGOGnKNekWVGzLu
ViNR5DSOqK+sx4FT9GTF1S4rrg1kkeqQ0BmW+uVVDkL2RFp3FqMUQenqSJRVIoeMQG+w+Vgq/oFu
287ueovy3dG+aRkRVprMNMgUEe6NL3Sk7MDFeYGsjsaniyM6pXTlHOxAlUGkcLaGcCXbXORLGhFR
6QBEqWpeZsS+Bq8ce9xG0SxZ4DxtojG08iGv1T6lZyl5Aby6LBwfiKAhkPX0wzBH01gaD7NA7Wtt
pFwodw/jcOyVrbSN+b+uSdNd6id42RbhjjFFEzKqZgC90iudNNce7S5Y3oUYek5nnezl20Ab7BbQ
F+BKr87ySdKnJHC265noD4noC4dv50rTTbfunjRLv27RnJVBqkWWCJcXUbzkSJkeWR8Bnu4Zp1q4
9AnBnxaP0UgJbeRSjXbtNgMU/SLB6u1trugUGUBq5G0/inZyTOk3gcD+hKv4C3Y8TKYphiIuqyK+
rmghoG8hhrlh+ve/SYD9+UexdTBWr90r66qYPb1UnvzVh8tE5x6xEAK6RWcp3BgPl4kDFaXuGA/N
9Q+XiXWrmKrCp6VbopXhkW+oOTBsQVMJSeSt2/gtvuEzLspbuBcN9w5MXjIXG00VTy8TZkOOzcWW
Moy1AQfUAF/fGMgVyBlC6Tb9c3ujqS+KJaDuZoxpWNqrmFOpVr2NDgmgBCVYkNsg4NfL5U0p79Hf
MGJ73U+sBl6tBuz7qplKiUU71K7A2ixKHC0HlZ9NASg0ydYYl1UJ+Cq3Un81VkFoUFCQS1TV8l2k
1giVaRR3qiOV9scNNNLHTXmQPUhryI7sUopHh7ECB+0eIS8t3/YOcLkoDcr043E+2eOxU5zikGvK
7srQysJLrfyszgE/1CshIFnGYZrpk2Z52MPGuO1sVvBFb7Pi5LCTDr5jro71Uh3uM8dNReXVgjHe
ysOyST45xvp6B/55bBBV79prC3j/xh4q23XrIMSV1rut6q1S4OiHJqP/eLUJzGKFesgWEwOR5jo2
L5M0sQJ5TtUskzef8vGWUL5ewA5ZbxYjU96W3lIBs67UOnDYHPiZY4NYMQqJ9GuVLYP5Ek6v1ElH
lZxCq7sn11Ee0paiHGgb0VXwrgrGvlF6h0QFZ7I0geHuaYzYWvFpphdntT0+bbYa1RLbSIHXjCf1
An6/fL3ys0PquPFhVbsWBcJVXpyXu2JYHRTFs23kT1ZgCfSxGshZ8zEp6nPzQI43Vja8Ps4IheeH
JjIBcxEy7KK9YV3G84y0Wr5Fmqah82wp4fHnoFGMPPfQU5o5td1Nd1s06xbY9k2627mrNfIJxr5s
QtuoUl+KYdxa1PqFHuvnjlqppEdtMwP8hsRbVa1rtwSk0+QFPACV2B7pxvJUiMoWZobwnCTTcbuz
yqPdgqJPJheRqcB1ZkgJcKJVRZ5ftWkAISI6CIkREQppa3Iy+Vi6qmRtEabSMneTQqbRtt7u2/Ic
tH+8yWL/L7Gqf0EAfm/4/Uk1CW4N4kk9Kw7DWVkn94Qsgq9lIrq8bn8ez8pvesUXQ/XHt3jTAt89
0P3L+pN09ve/HWXY4M+/Pxjhs0POt5/b9i9G/NGTHx59nmrJQgv60cX3x8e7m4NXnv/NFzz+QNSm
HgctLwytnxXV4sNv6Yz7iXCPCed6uhseknkV4gDr6tH19JWRQWJs0X/5A0f2ZSrvOjRfGNlJ/fn3
q9n10zE9WbI/M64fOagnIoYvjMibrCfTPyxSzd7k6MzjbP32gNQvO+J/fa+/eAs+7IyvLtTTFcrR
gp/dbbkf9Ii3rglnU0NiDapRR9Vxnb6c5RfWofdvn/89mZFchypwKp1O4jWcqNFsPdvGn//rgSnp
7hQl2fUk4Uw9esuvHKLb50DMUlCDq7aBgv3dc/zYafhKa8IL0/BCc0I9XzxdzT8/+ic+7Y8zJPeL
L5Q8bZuUiibjl762+KCeV2zR6feO89dYZZMUkmMiK2ipb1wQpzP4v7ZxkhCyzR7dDu9lZclrOzCK
mc+YjV/Yz/cH+TfGK0053jPGvK2/e9i/xkI/rSO8trFfLkl8qxH7qccY4uIXBYFfWOyXJIHf01gp
MOnQbUN/TWr6jSP826JeV2V8LXmToqKj7N2e5hcux696FV/x2d+H2cIJgYjcJF9DVuMNb2QYC7ej
EDarlAbFJC6IlqRbku8ZjH176ayYpVfJrHyP9lunzEn/oiM7XFdvTMSXFYdAEAfy/V1WJOgQCIaP
gerNWz7ow2CJ4N61M4K2DpQolL/Y6m+N+rf1Mqu/d2l/hQv5uZDQaxfyrT/yB02ib72kfo1Rgywg
u6zLaBC94V+PhKtZTA53cRW8bIKLViJkugZ1Vs3W5W2c+32H+xeZC4qplGhtE/2K12ONYVbOUrIw
MB59GMzIzMyYCCoJ79onNZ7xBr92BO45iaVXGYnf44nA0AuuK0vD5r1l9CALSkSiwZ+VH46LdMad
/r0m8Gd652LI0GzZCmr2xmNw1AveuZ8V2+fZ1vfhuRnPOMhe2933Bn7yhM3sXe7mZ8I/rw3au1MQ
EkmzxyJC73PYT1VyXxv2M6Xd9zlc/FIFIBQ4wfvU5Fejr/vww0sIR973bfUMuvXaGg+SSYV1hoeK
vf0ECfYulxvkmSBAtDSgAY8pGV+w18c1GAXhqXzvxfQreGa3HJGWoduK4ryVBb6zYiLi7s/iufhf
xgxIPuVCkTuMis//ef3d+/6n3tKCqEelCKAA+7sr6X31kPdmH/6PbXlNZvHB0OgmUOnXffPWJM1L
jvt3x94/dZWFoIYIx2R4nO6yhz+yygRrqgLkldqgTtXl9Xm+mJVVKrC179q0YEgdWzFtiovKG7aU
U3VaT+EXZeDfO+afu7c0GMQ4QTQVKG8s7mhWTGvK1u83nAcdTSWNSE60UbxhMm5TG2jq/AsB/M9d
WAebobOPDUDhr5/a3uR08i+UDL/fHXjLjCH3JF5yncwmxT/+BwAA//8=</cx:binary>
              </cx:geoCache>
            </cx:geography>
          </cx:layoutPr>
        </cx:series>
      </cx:plotAreaRegion>
    </cx:plotArea>
    <cx:legend pos="r" align="min" overlay="0"/>
  </cx:chart>
</cx: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withinLinear" id="19">
  <a:schemeClr val="accent6"/>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withinLinear" id="17">
  <a:schemeClr val="accent4"/>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withinLinear" id="15">
  <a:schemeClr val="accent2"/>
</cs:colorStyle>
</file>

<file path=xl/charts/colors4.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2">
  <a:schemeClr val="accent2"/>
  <a:schemeClr val="accent4"/>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withinLinear" id="18">
  <a:schemeClr val="accent5"/>
</cs:colorStyle>
</file>

<file path=xl/charts/colors7.xml><?xml version="1.0" encoding="utf-8"?>
<cs:colorStyle xmlns:cs="http://schemas.microsoft.com/office/drawing/2012/chartStyle" xmlns:a="http://schemas.openxmlformats.org/drawingml/2006/main" meth="withinLinearReversed" id="26">
  <a:schemeClr val="accent6"/>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494">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85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ln w="3175">
        <a:solidFill>
          <a:schemeClr val="bg1"/>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1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494">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85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ln w="3175">
        <a:solidFill>
          <a:schemeClr val="bg1"/>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1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494">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85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ln w="3175">
        <a:solidFill>
          <a:schemeClr val="bg1"/>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4.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494">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85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ln w="3175">
        <a:solidFill>
          <a:schemeClr val="bg1"/>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7.xml><?xml version="1.0" encoding="utf-8"?>
<cs:chartStyle xmlns:cs="http://schemas.microsoft.com/office/drawing/2012/chartStyle" xmlns:a="http://schemas.openxmlformats.org/drawingml/2006/main" id="494">
  <cs:axisTitle>
    <cs:lnRef idx="0"/>
    <cs:fillRef idx="0"/>
    <cs:effectRef idx="0"/>
    <cs:fontRef idx="minor">
      <a:schemeClr val="tx1">
        <a:lumMod val="65000"/>
        <a:lumOff val="35000"/>
      </a:schemeClr>
    </cs:fontRef>
    <cs:defRPr sz="9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cs:chartArea>
  <cs:dataLabel>
    <cs:lnRef idx="0"/>
    <cs:fillRef idx="0"/>
    <cs:effectRef idx="0"/>
    <cs:fontRef idx="minor">
      <a:schemeClr val="tx1">
        <a:lumMod val="65000"/>
        <a:lumOff val="35000"/>
      </a:schemeClr>
    </cs:fontRef>
    <cs:defRPr sz="85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tx1"/>
    </cs:fontRef>
    <cs:spPr>
      <a:solidFill>
        <a:schemeClr val="phClr"/>
      </a:solidFill>
      <a:ln w="3175">
        <a:solidFill>
          <a:schemeClr val="bg1"/>
        </a:solidFill>
      </a:ln>
    </cs:spPr>
  </cs:dataPoint>
  <cs:dataPoint3D>
    <cs:lnRef idx="0"/>
    <cs:fillRef idx="0">
      <cs:styleClr val="auto"/>
    </cs:fillRef>
    <cs:effectRef idx="0"/>
    <cs:fontRef idx="minor">
      <a:schemeClr val="tx1"/>
    </cs:fontRef>
    <cs:spPr>
      <a:solidFill>
        <a:schemeClr val="phClr"/>
      </a:solidFill>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fillRef idx="0">
      <cs:styleClr val="auto"/>
    </cs:fillRef>
    <cs:effectRef idx="0"/>
    <cs:fontRef idx="minor">
      <a:schemeClr val="tx1"/>
    </cs:fontRef>
    <cs:spPr>
      <a:solidFill>
        <a:schemeClr val="phClr"/>
      </a:solidFill>
      <a:ln w="9525">
        <a:solidFill>
          <a:schemeClr val="lt1"/>
        </a:solidFill>
      </a:ln>
    </cs:spPr>
  </cs:dataPointMarker>
  <cs:dataPointMarkerLayout symbol="circle" size="5"/>
  <cs:dataPointWireframe>
    <cs:lnRef idx="0">
      <cs:styleClr val="auto"/>
    </cs:lnRef>
    <cs:fillRef idx="0"/>
    <cs:effectRef idx="0"/>
    <cs:fontRef idx="minor">
      <a:schemeClr val="tx1"/>
    </cs:fontRef>
    <cs:spPr>
      <a:ln w="2857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15000"/>
            <a:lumOff val="8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cs:seriesAxis>
  <cs:seriesLine>
    <cs:lnRef idx="0"/>
    <cs:fillRef idx="0"/>
    <cs:effectRef idx="0"/>
    <cs:fontRef idx="minor">
      <a:schemeClr val="tx1"/>
    </cs:fontRef>
    <cs:spPr>
      <a:ln w="9525" cap="flat">
        <a:solidFill>
          <a:srgbClr val="D9D9D9"/>
        </a:solidFill>
        <a:round/>
      </a:ln>
    </cs:spPr>
  </cs:seriesLine>
  <cs:title>
    <cs:lnRef idx="0"/>
    <cs:fillRef idx="0"/>
    <cs:effectRef idx="0"/>
    <cs:fontRef idx="minor">
      <a:schemeClr val="tx1">
        <a:lumMod val="65000"/>
        <a:lumOff val="35000"/>
      </a:schemeClr>
    </cs:fontRef>
    <cs:defRPr sz="1400"/>
  </cs:title>
  <cs:trendline>
    <cs:lnRef idx="0">
      <cs:styleClr val="auto"/>
    </cs:lnRef>
    <cs:fillRef idx="0"/>
    <cs:effectRef idx="0"/>
    <cs:fontRef idx="minor">
      <a:schemeClr val="tx1"/>
    </cs:fontRef>
    <cs:spPr>
      <a:ln w="19050" cap="rnd">
        <a:solidFill>
          <a:schemeClr val="phClr"/>
        </a:solidFill>
        <a:prstDash val="sysDash"/>
      </a:ln>
    </cs:spPr>
  </cs:trendline>
  <cs:trendlineLabel>
    <cs:lnRef idx="0"/>
    <cs:fillRef idx="0"/>
    <cs:effectRef idx="0"/>
    <cs:fontRef idx="minor">
      <a:schemeClr val="tx1">
        <a:lumMod val="65000"/>
        <a:lumOff val="35000"/>
      </a:schemeClr>
    </cs:fontRef>
    <cs:defRPr sz="9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cs:valueAxis>
  <cs:wall>
    <cs:lnRef idx="0"/>
    <cs:fillRef idx="0"/>
    <cs:effectRef idx="0"/>
    <cs:fontRef idx="minor">
      <a:schemeClr val="tx1"/>
    </cs:fontRef>
  </cs:wall>
</cs:chartStyle>
</file>

<file path=xl/charts/style8.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Drop" dropStyle="combo" dx="15" fmlaLink="$G$10" fmlaRange="'Table des matières'!$B$27:$B$42" noThreeD="1" sel="1" val="0"/>
</file>

<file path=xl/ctrlProps/ctrlProp2.xml><?xml version="1.0" encoding="utf-8"?>
<formControlPr xmlns="http://schemas.microsoft.com/office/spreadsheetml/2009/9/main" objectType="Drop" dropStyle="combo" dx="15" fmlaLink="$G$11" fmlaRange="'Table des matières'!$B$43:$B$62" noThreeD="1" sel="1" val="0"/>
</file>

<file path=xl/ctrlProps/ctrlProp3.xml><?xml version="1.0" encoding="utf-8"?>
<formControlPr xmlns="http://schemas.microsoft.com/office/spreadsheetml/2009/9/main" objectType="Radio" checked="Checked" firstButton="1" fmlaLink="$B$209" lockText="1" noThreeD="1"/>
</file>

<file path=xl/ctrlProps/ctrlProp4.xml><?xml version="1.0" encoding="utf-8"?>
<formControlPr xmlns="http://schemas.microsoft.com/office/spreadsheetml/2009/9/main" objectType="Radio" lockText="1" noThreeD="1"/>
</file>

<file path=xl/ctrlProps/ctrlProp5.xml><?xml version="1.0" encoding="utf-8"?>
<formControlPr xmlns="http://schemas.microsoft.com/office/spreadsheetml/2009/9/main" objectType="Drop" dropStyle="combo" dx="15" fmlaLink="$B$210" fmlaRange="$A$210:$A$215" noThreeD="1" sel="1" val="0"/>
</file>

<file path=xl/diagrams/colors1.xml><?xml version="1.0" encoding="utf-8"?>
<dgm:colorsDef xmlns:dgm="http://schemas.openxmlformats.org/drawingml/2006/diagram" xmlns:a="http://schemas.openxmlformats.org/drawingml/2006/main" uniqueId="urn:microsoft.com/office/officeart/2005/8/colors/accent1_2">
  <dgm:title val=""/>
  <dgm:desc val=""/>
  <dgm:catLst>
    <dgm:cat type="accent1" pri="11200"/>
  </dgm:catLst>
  <dgm:styleLbl name="node0">
    <dgm:fillClrLst meth="repeat">
      <a:schemeClr val="accent1"/>
    </dgm:fillClrLst>
    <dgm:linClrLst meth="repeat">
      <a:schemeClr val="lt1"/>
    </dgm:linClrLst>
    <dgm:effectClrLst/>
    <dgm:txLinClrLst/>
    <dgm:txFillClrLst/>
    <dgm:txEffectClrLst/>
  </dgm:styleLbl>
  <dgm:styleLbl name="alignNode1">
    <dgm:fillClrLst meth="repeat">
      <a:schemeClr val="accent1"/>
    </dgm:fillClrLst>
    <dgm:linClrLst meth="repeat">
      <a:schemeClr val="accent1"/>
    </dgm:linClrLst>
    <dgm:effectClrLst/>
    <dgm:txLinClrLst/>
    <dgm:txFillClrLst/>
    <dgm:txEffectClrLst/>
  </dgm:styleLbl>
  <dgm:styleLbl name="node1">
    <dgm:fillClrLst meth="repeat">
      <a:schemeClr val="accent1"/>
    </dgm:fillClrLst>
    <dgm:linClrLst meth="repeat">
      <a:schemeClr val="lt1"/>
    </dgm:linClrLst>
    <dgm:effectClrLst/>
    <dgm:txLinClrLst/>
    <dgm:txFillClrLst/>
    <dgm:txEffectClrLst/>
  </dgm:styleLbl>
  <dgm:styleLbl name="lnNode1">
    <dgm:fillClrLst meth="repeat">
      <a:schemeClr val="accent1"/>
    </dgm:fillClrLst>
    <dgm:linClrLst meth="repeat">
      <a:schemeClr val="lt1"/>
    </dgm:linClrLst>
    <dgm:effectClrLst/>
    <dgm:txLinClrLst/>
    <dgm:txFillClrLst/>
    <dgm:txEffectClrLst/>
  </dgm:styleLbl>
  <dgm:styleLbl name="vennNode1">
    <dgm:fillClrLst meth="repeat">
      <a:schemeClr val="accent1">
        <a:alpha val="50000"/>
      </a:schemeClr>
    </dgm:fillClrLst>
    <dgm:linClrLst meth="repeat">
      <a:schemeClr val="lt1"/>
    </dgm:linClrLst>
    <dgm:effectClrLst/>
    <dgm:txLinClrLst/>
    <dgm:txFillClrLst/>
    <dgm:txEffectClrLst/>
  </dgm:styleLbl>
  <dgm:styleLbl name="node2">
    <dgm:fillClrLst meth="repeat">
      <a:schemeClr val="accent1"/>
    </dgm:fillClrLst>
    <dgm:linClrLst meth="repeat">
      <a:schemeClr val="lt1"/>
    </dgm:linClrLst>
    <dgm:effectClrLst/>
    <dgm:txLinClrLst/>
    <dgm:txFillClrLst/>
    <dgm:txEffectClrLst/>
  </dgm:styleLbl>
  <dgm:styleLbl name="node3">
    <dgm:fillClrLst meth="repeat">
      <a:schemeClr val="accent1"/>
    </dgm:fillClrLst>
    <dgm:linClrLst meth="repeat">
      <a:schemeClr val="lt1"/>
    </dgm:linClrLst>
    <dgm:effectClrLst/>
    <dgm:txLinClrLst/>
    <dgm:txFillClrLst/>
    <dgm:txEffectClrLst/>
  </dgm:styleLbl>
  <dgm:styleLbl name="node4">
    <dgm:fillClrLst meth="repeat">
      <a:schemeClr val="accent1"/>
    </dgm:fillClrLst>
    <dgm:linClrLst meth="repeat">
      <a:schemeClr val="lt1"/>
    </dgm:linClrLst>
    <dgm:effectClrLst/>
    <dgm:txLinClrLst/>
    <dgm:txFillClrLst/>
    <dgm:txEffectClrLst/>
  </dgm:styleLbl>
  <dgm:styleLbl name="f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align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bgImgPlace1">
    <dgm:fillClrLst meth="repeat">
      <a:schemeClr val="accent1">
        <a:tint val="50000"/>
      </a:schemeClr>
    </dgm:fillClrLst>
    <dgm:linClrLst meth="repeat">
      <a:schemeClr val="lt1"/>
    </dgm:linClrLst>
    <dgm:effectClrLst/>
    <dgm:txLinClrLst/>
    <dgm:txFillClrLst meth="repeat">
      <a:schemeClr val="lt1"/>
    </dgm:txFillClrLst>
    <dgm:txEffectClrLst/>
  </dgm:styleLbl>
  <dgm:styleLbl name="sibTrans2D1">
    <dgm:fillClrLst meth="repeat">
      <a:schemeClr val="accent1">
        <a:tint val="60000"/>
      </a:schemeClr>
    </dgm:fillClrLst>
    <dgm:linClrLst meth="repeat">
      <a:schemeClr val="accent1">
        <a:tint val="60000"/>
      </a:schemeClr>
    </dgm:linClrLst>
    <dgm:effectClrLst/>
    <dgm:txLinClrLst/>
    <dgm:txFillClrLst/>
    <dgm:txEffectClrLst/>
  </dgm:styleLbl>
  <dgm:styleLbl name="fgSibTrans2D1">
    <dgm:fillClrLst meth="repeat">
      <a:schemeClr val="accent1">
        <a:tint val="60000"/>
      </a:schemeClr>
    </dgm:fillClrLst>
    <dgm:linClrLst meth="repeat">
      <a:schemeClr val="accent1">
        <a:tint val="60000"/>
      </a:schemeClr>
    </dgm:linClrLst>
    <dgm:effectClrLst/>
    <dgm:txLinClrLst/>
    <dgm:txFillClrLst/>
    <dgm:txEffectClrLst/>
  </dgm:styleLbl>
  <dgm:styleLbl name="bgSibTrans2D1">
    <dgm:fillClrLst meth="repeat">
      <a:schemeClr val="accent1">
        <a:tint val="60000"/>
      </a:schemeClr>
    </dgm:fillClrLst>
    <dgm:linClrLst meth="repeat">
      <a:schemeClr val="accent1">
        <a:tint val="60000"/>
      </a:schemeClr>
    </dgm:linClrLst>
    <dgm:effectClrLst/>
    <dgm:txLinClrLst/>
    <dgm:txFillClrLst/>
    <dgm:txEffectClrLst/>
  </dgm:styleLbl>
  <dgm:styleLbl name="sibTrans1D1">
    <dgm:fillClrLst meth="repeat">
      <a:schemeClr val="accent1"/>
    </dgm:fillClrLst>
    <dgm:linClrLst meth="repeat">
      <a:schemeClr val="accent1"/>
    </dgm:linClrLst>
    <dgm:effectClrLst/>
    <dgm:txLinClrLst/>
    <dgm:txFillClrLst meth="repeat">
      <a:schemeClr val="tx1"/>
    </dgm:txFillClrLst>
    <dgm:txEffectClrLst/>
  </dgm:styleLbl>
  <dgm:styleLbl name="callout">
    <dgm:fillClrLst meth="repeat">
      <a:schemeClr val="accent1"/>
    </dgm:fillClrLst>
    <dgm:linClrLst meth="repeat">
      <a:schemeClr val="accent1">
        <a:tint val="50000"/>
      </a:schemeClr>
    </dgm:linClrLst>
    <dgm:effectClrLst/>
    <dgm:txLinClrLst/>
    <dgm:txFillClrLst meth="repeat">
      <a:schemeClr val="tx1"/>
    </dgm:txFillClrLst>
    <dgm:txEffectClrLst/>
  </dgm:styleLbl>
  <dgm:styleLbl name="asst0">
    <dgm:fillClrLst meth="repeat">
      <a:schemeClr val="accent1"/>
    </dgm:fillClrLst>
    <dgm:linClrLst meth="repeat">
      <a:schemeClr val="lt1"/>
    </dgm:linClrLst>
    <dgm:effectClrLst/>
    <dgm:txLinClrLst/>
    <dgm:txFillClrLst/>
    <dgm:txEffectClrLst/>
  </dgm:styleLbl>
  <dgm:styleLbl name="asst1">
    <dgm:fillClrLst meth="repeat">
      <a:schemeClr val="accent1"/>
    </dgm:fillClrLst>
    <dgm:linClrLst meth="repeat">
      <a:schemeClr val="lt1"/>
    </dgm:linClrLst>
    <dgm:effectClrLst/>
    <dgm:txLinClrLst/>
    <dgm:txFillClrLst/>
    <dgm:txEffectClrLst/>
  </dgm:styleLbl>
  <dgm:styleLbl name="asst2">
    <dgm:fillClrLst meth="repeat">
      <a:schemeClr val="accent1"/>
    </dgm:fillClrLst>
    <dgm:linClrLst meth="repeat">
      <a:schemeClr val="lt1"/>
    </dgm:linClrLst>
    <dgm:effectClrLst/>
    <dgm:txLinClrLst/>
    <dgm:txFillClrLst/>
    <dgm:txEffectClrLst/>
  </dgm:styleLbl>
  <dgm:styleLbl name="asst3">
    <dgm:fillClrLst meth="repeat">
      <a:schemeClr val="accent1"/>
    </dgm:fillClrLst>
    <dgm:linClrLst meth="repeat">
      <a:schemeClr val="lt1"/>
    </dgm:linClrLst>
    <dgm:effectClrLst/>
    <dgm:txLinClrLst/>
    <dgm:txFillClrLst/>
    <dgm:txEffectClrLst/>
  </dgm:styleLbl>
  <dgm:styleLbl name="asst4">
    <dgm:fillClrLst meth="repeat">
      <a:schemeClr val="accent1"/>
    </dgm:fillClrLst>
    <dgm:linClrLst meth="repeat">
      <a:schemeClr val="lt1"/>
    </dgm:linClrLst>
    <dgm:effectClrLst/>
    <dgm:txLinClrLst/>
    <dgm:txFillClrLst/>
    <dgm:txEffectClrLst/>
  </dgm:styleLbl>
  <dgm:styleLbl name="parChTrans2D1">
    <dgm:fillClrLst meth="repeat">
      <a:schemeClr val="accent1">
        <a:tint val="60000"/>
      </a:schemeClr>
    </dgm:fillClrLst>
    <dgm:linClrLst meth="repeat">
      <a:schemeClr val="accent1">
        <a:tint val="60000"/>
      </a:schemeClr>
    </dgm:linClrLst>
    <dgm:effectClrLst/>
    <dgm:txLinClrLst/>
    <dgm:txFillClrLst meth="repeat">
      <a:schemeClr val="lt1"/>
    </dgm:txFillClrLst>
    <dgm:txEffectClrLst/>
  </dgm:styleLbl>
  <dgm:styleLbl name="parChTrans2D2">
    <dgm:fillClrLst meth="repeat">
      <a:schemeClr val="accent1"/>
    </dgm:fillClrLst>
    <dgm:linClrLst meth="repeat">
      <a:schemeClr val="accent1"/>
    </dgm:linClrLst>
    <dgm:effectClrLst/>
    <dgm:txLinClrLst/>
    <dgm:txFillClrLst meth="repeat">
      <a:schemeClr val="lt1"/>
    </dgm:txFillClrLst>
    <dgm:txEffectClrLst/>
  </dgm:styleLbl>
  <dgm:styleLbl name="parChTrans2D3">
    <dgm:fillClrLst meth="repeat">
      <a:schemeClr val="accent1"/>
    </dgm:fillClrLst>
    <dgm:linClrLst meth="repeat">
      <a:schemeClr val="accent1"/>
    </dgm:linClrLst>
    <dgm:effectClrLst/>
    <dgm:txLinClrLst/>
    <dgm:txFillClrLst meth="repeat">
      <a:schemeClr val="lt1"/>
    </dgm:txFillClrLst>
    <dgm:txEffectClrLst/>
  </dgm:styleLbl>
  <dgm:styleLbl name="parChTrans2D4">
    <dgm:fillClrLst meth="repeat">
      <a:schemeClr val="accent1"/>
    </dgm:fillClrLst>
    <dgm:linClrLst meth="repeat">
      <a:schemeClr val="accent1"/>
    </dgm:linClrLst>
    <dgm:effectClrLst/>
    <dgm:txLinClrLst/>
    <dgm:txFillClrLst meth="repeat">
      <a:schemeClr val="lt1"/>
    </dgm:txFillClrLst>
    <dgm:txEffectClrLst/>
  </dgm:styleLbl>
  <dgm:styleLbl name="parChTrans1D1">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2">
    <dgm:fillClrLst meth="repeat">
      <a:schemeClr val="accent1"/>
    </dgm:fillClrLst>
    <dgm:linClrLst meth="repeat">
      <a:schemeClr val="accent1">
        <a:shade val="60000"/>
      </a:schemeClr>
    </dgm:linClrLst>
    <dgm:effectClrLst/>
    <dgm:txLinClrLst/>
    <dgm:txFillClrLst meth="repeat">
      <a:schemeClr val="tx1"/>
    </dgm:txFillClrLst>
    <dgm:txEffectClrLst/>
  </dgm:styleLbl>
  <dgm:styleLbl name="parChTrans1D3">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parChTrans1D4">
    <dgm:fillClrLst meth="repeat">
      <a:schemeClr val="accent1"/>
    </dgm:fillClrLst>
    <dgm:linClrLst meth="repeat">
      <a:schemeClr val="accent1">
        <a:shade val="80000"/>
      </a:schemeClr>
    </dgm:linClrLst>
    <dgm:effectClrLst/>
    <dgm:txLinClrLst/>
    <dgm:txFillClrLst meth="repeat">
      <a:schemeClr val="tx1"/>
    </dgm:txFillClrLst>
    <dgm:txEffectClrLst/>
  </dgm:styleLbl>
  <dgm:styleLbl name="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conF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align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trAlignAcc1">
    <dgm:fillClrLst meth="repeat">
      <a:schemeClr val="lt1">
        <a:alpha val="40000"/>
      </a:schemeClr>
    </dgm:fillClrLst>
    <dgm:linClrLst meth="repeat">
      <a:schemeClr val="accent1"/>
    </dgm:linClrLst>
    <dgm:effectClrLst/>
    <dgm:txLinClrLst/>
    <dgm:txFillClrLst meth="repeat">
      <a:schemeClr val="dk1"/>
    </dgm:txFillClrLst>
    <dgm:txEffectClrLst/>
  </dgm:styleLbl>
  <dgm:styleLbl name="bgAcc1">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solidFgAcc1">
    <dgm:fillClrLst meth="repeat">
      <a:schemeClr val="lt1"/>
    </dgm:fillClrLst>
    <dgm:linClrLst meth="repeat">
      <a:schemeClr val="accent1"/>
    </dgm:linClrLst>
    <dgm:effectClrLst/>
    <dgm:txLinClrLst/>
    <dgm:txFillClrLst meth="repeat">
      <a:schemeClr val="dk1"/>
    </dgm:txFillClrLst>
    <dgm:txEffectClrLst/>
  </dgm:styleLbl>
  <dgm:styleLbl name="solidAlignAcc1">
    <dgm:fillClrLst meth="repeat">
      <a:schemeClr val="lt1"/>
    </dgm:fillClrLst>
    <dgm:linClrLst meth="repeat">
      <a:schemeClr val="accent1"/>
    </dgm:linClrLst>
    <dgm:effectClrLst/>
    <dgm:txLinClrLst/>
    <dgm:txFillClrLst meth="repeat">
      <a:schemeClr val="dk1"/>
    </dgm:txFillClrLst>
    <dgm:txEffectClrLst/>
  </dgm:styleLbl>
  <dgm:styleLbl name="solidBgAcc1">
    <dgm:fillClrLst meth="repeat">
      <a:schemeClr val="lt1"/>
    </dgm:fillClrLst>
    <dgm:linClrLst meth="repeat">
      <a:schemeClr val="accent1"/>
    </dgm:linClrLst>
    <dgm:effectClrLst/>
    <dgm:txLinClrLst/>
    <dgm:txFillClrLst meth="repeat">
      <a:schemeClr val="dk1"/>
    </dgm:txFillClrLst>
    <dgm:txEffectClrLst/>
  </dgm:styleLbl>
  <dgm:styleLbl name="f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align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bgAccFollowNode1">
    <dgm:fillClrLst meth="repeat">
      <a:schemeClr val="accent1">
        <a:alpha val="90000"/>
        <a:tint val="40000"/>
      </a:schemeClr>
    </dgm:fillClrLst>
    <dgm:linClrLst meth="repeat">
      <a:schemeClr val="accent1">
        <a:alpha val="90000"/>
        <a:tint val="40000"/>
      </a:schemeClr>
    </dgm:linClrLst>
    <dgm:effectClrLst/>
    <dgm:txLinClrLst/>
    <dgm:txFillClrLst meth="repeat">
      <a:schemeClr val="dk1"/>
    </dgm:txFillClrLst>
    <dgm:txEffectClrLst/>
  </dgm:styleLbl>
  <dgm:styleLbl name="fgAcc0">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2">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3">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fgAcc4">
    <dgm:fillClrLst meth="repeat">
      <a:schemeClr val="lt1">
        <a:alpha val="90000"/>
      </a:schemeClr>
    </dgm:fillClrLst>
    <dgm:linClrLst meth="repeat">
      <a:schemeClr val="accent1"/>
    </dgm:linClrLst>
    <dgm:effectClrLst/>
    <dgm:txLinClrLst/>
    <dgm:txFillClrLst meth="repeat">
      <a:schemeClr val="dk1"/>
    </dgm:txFillClrLst>
    <dgm:txEffectClrLst/>
  </dgm:styleLbl>
  <dgm:styleLbl name="bgShp">
    <dgm:fillClrLst meth="repeat">
      <a:schemeClr val="accent1">
        <a:tint val="40000"/>
      </a:schemeClr>
    </dgm:fillClrLst>
    <dgm:linClrLst meth="repeat">
      <a:schemeClr val="accent1"/>
    </dgm:linClrLst>
    <dgm:effectClrLst/>
    <dgm:txLinClrLst/>
    <dgm:txFillClrLst meth="repeat">
      <a:schemeClr val="dk1"/>
    </dgm:txFillClrLst>
    <dgm:txEffectClrLst/>
  </dgm:styleLbl>
  <dgm:styleLbl name="dkBgShp">
    <dgm:fillClrLst meth="repeat">
      <a:schemeClr val="accent1">
        <a:shade val="80000"/>
      </a:schemeClr>
    </dgm:fillClrLst>
    <dgm:linClrLst meth="repeat">
      <a:schemeClr val="accent1"/>
    </dgm:linClrLst>
    <dgm:effectClrLst/>
    <dgm:txLinClrLst/>
    <dgm:txFillClrLst meth="repeat">
      <a:schemeClr val="lt1"/>
    </dgm:txFillClrLst>
    <dgm:txEffectClrLst/>
  </dgm:styleLbl>
  <dgm:styleLbl name="trBgShp">
    <dgm:fillClrLst meth="repeat">
      <a:schemeClr val="accent1">
        <a:tint val="50000"/>
        <a:alpha val="40000"/>
      </a:schemeClr>
    </dgm:fillClrLst>
    <dgm:linClrLst meth="repeat">
      <a:schemeClr val="accent1"/>
    </dgm:linClrLst>
    <dgm:effectClrLst/>
    <dgm:txLinClrLst/>
    <dgm:txFillClrLst meth="repeat">
      <a:schemeClr val="lt1"/>
    </dgm:txFillClrLst>
    <dgm:txEffectClrLst/>
  </dgm:styleLbl>
  <dgm:styleLbl name="fgShp">
    <dgm:fillClrLst meth="repeat">
      <a:schemeClr val="accent1">
        <a:tint val="60000"/>
      </a:schemeClr>
    </dgm:fillClrLst>
    <dgm:linClrLst meth="repeat">
      <a:schemeClr val="lt1"/>
    </dgm:linClrLst>
    <dgm:effectClrLst/>
    <dgm:txLinClrLst/>
    <dgm:txFillClrLst meth="repeat">
      <a:schemeClr val="dk1"/>
    </dgm:txFillClrLst>
    <dgm:txEffectClrLst/>
  </dgm:styleLbl>
  <dgm:styleLbl name="revTx">
    <dgm:fillClrLst meth="repeat">
      <a:schemeClr val="lt1">
        <a:alpha val="0"/>
      </a:schemeClr>
    </dgm:fillClrLst>
    <dgm:linClrLst meth="repeat">
      <a:schemeClr val="dk1">
        <a:alpha val="0"/>
      </a:schemeClr>
    </dgm:linClrLst>
    <dgm:effectClrLst/>
    <dgm:txLinClrLst/>
    <dgm:txFillClrLst meth="repeat">
      <a:schemeClr val="tx1"/>
    </dgm:txFillClrLst>
    <dgm:txEffectClrLst/>
  </dgm:styleLbl>
</dgm:colorsDef>
</file>

<file path=xl/diagrams/data1.xml><?xml version="1.0" encoding="utf-8"?>
<dgm:dataModel xmlns:dgm="http://schemas.openxmlformats.org/drawingml/2006/diagram" xmlns:a="http://schemas.openxmlformats.org/drawingml/2006/main">
  <dgm:ptLst>
    <dgm:pt modelId="{845C7F75-F1FE-C846-B408-B07A3C8CE23A}" type="doc">
      <dgm:prSet loTypeId="urn:microsoft.com/office/officeart/2005/8/layout/hierarchy2" loCatId="" qsTypeId="urn:microsoft.com/office/officeart/2005/8/quickstyle/simple1" qsCatId="simple" csTypeId="urn:microsoft.com/office/officeart/2005/8/colors/accent1_2" csCatId="accent1" phldr="1"/>
      <dgm:spPr/>
      <dgm:t>
        <a:bodyPr/>
        <a:lstStyle/>
        <a:p>
          <a:endParaRPr lang="en-US"/>
        </a:p>
      </dgm:t>
    </dgm:pt>
    <dgm:pt modelId="{1D4EE467-DEAE-1C49-A68C-02295F5474F2}">
      <dgm:prSet phldrT="[Text]"/>
      <dgm:spPr>
        <a:noFill/>
        <a:ln w="19050"/>
      </dgm:spPr>
      <dgm:t>
        <a:bodyPr/>
        <a:lstStyle/>
        <a:p>
          <a:r>
            <a:rPr lang="en-US">
              <a:solidFill>
                <a:sysClr val="windowText" lastClr="000000"/>
              </a:solidFill>
            </a:rPr>
            <a:t>Coût à partager</a:t>
          </a:r>
        </a:p>
      </dgm:t>
    </dgm:pt>
    <dgm:pt modelId="{9B8B4292-EBC7-FF4D-BA71-6C77E8A24766}" type="parTrans" cxnId="{AD0D3F73-B8A8-6044-9B76-B8B17BB601DF}">
      <dgm:prSet/>
      <dgm:spPr/>
      <dgm:t>
        <a:bodyPr/>
        <a:lstStyle/>
        <a:p>
          <a:endParaRPr lang="en-US"/>
        </a:p>
      </dgm:t>
    </dgm:pt>
    <dgm:pt modelId="{ECC93FD2-45F6-6E4C-9B1E-91800E349B14}" type="sibTrans" cxnId="{AD0D3F73-B8A8-6044-9B76-B8B17BB601DF}">
      <dgm:prSet/>
      <dgm:spPr/>
      <dgm:t>
        <a:bodyPr/>
        <a:lstStyle/>
        <a:p>
          <a:endParaRPr lang="en-US"/>
        </a:p>
      </dgm:t>
    </dgm:pt>
    <dgm:pt modelId="{84449934-C075-1C45-B0D1-457EDF192DC0}">
      <dgm:prSet phldrT="[Text]"/>
      <dgm:spPr>
        <a:solidFill>
          <a:srgbClr val="F4B182"/>
        </a:solidFill>
      </dgm:spPr>
      <dgm:t>
        <a:bodyPr/>
        <a:lstStyle/>
        <a:p>
          <a:r>
            <a:rPr lang="en-US"/>
            <a:t>% surface Auto</a:t>
          </a:r>
        </a:p>
      </dgm:t>
    </dgm:pt>
    <dgm:pt modelId="{7F4AC7CC-607B-4341-BCF0-4F99EA53193B}" type="parTrans" cxnId="{42F03D92-7FFB-6C49-A6CC-33814D787F68}">
      <dgm:prSet/>
      <dgm:spPr/>
      <dgm:t>
        <a:bodyPr/>
        <a:lstStyle/>
        <a:p>
          <a:endParaRPr lang="en-US"/>
        </a:p>
      </dgm:t>
    </dgm:pt>
    <dgm:pt modelId="{BFB4DB75-801A-B145-87BA-71EB45976ADF}" type="sibTrans" cxnId="{42F03D92-7FFB-6C49-A6CC-33814D787F68}">
      <dgm:prSet/>
      <dgm:spPr/>
      <dgm:t>
        <a:bodyPr/>
        <a:lstStyle/>
        <a:p>
          <a:endParaRPr lang="en-US"/>
        </a:p>
      </dgm:t>
    </dgm:pt>
    <dgm:pt modelId="{C1ECF0BC-16E8-A948-83BC-14D0772F58AE}">
      <dgm:prSet phldrT="[Text]"/>
      <dgm:spPr>
        <a:solidFill>
          <a:srgbClr val="F4B182"/>
        </a:solidFill>
      </dgm:spPr>
      <dgm:t>
        <a:bodyPr/>
        <a:lstStyle/>
        <a:p>
          <a:r>
            <a:rPr lang="en-US"/>
            <a:t>% Camion</a:t>
          </a:r>
        </a:p>
      </dgm:t>
    </dgm:pt>
    <dgm:pt modelId="{A6B77F36-3D3D-1747-AA73-0AA3B901244E}" type="parTrans" cxnId="{10620730-4424-144E-B3F5-DBE0B12ECB82}">
      <dgm:prSet/>
      <dgm:spPr/>
      <dgm:t>
        <a:bodyPr/>
        <a:lstStyle/>
        <a:p>
          <a:endParaRPr lang="en-US"/>
        </a:p>
      </dgm:t>
    </dgm:pt>
    <dgm:pt modelId="{2392003B-A4FC-AB43-9807-AD6166808AEB}" type="sibTrans" cxnId="{10620730-4424-144E-B3F5-DBE0B12ECB82}">
      <dgm:prSet/>
      <dgm:spPr/>
      <dgm:t>
        <a:bodyPr/>
        <a:lstStyle/>
        <a:p>
          <a:endParaRPr lang="en-US"/>
        </a:p>
      </dgm:t>
    </dgm:pt>
    <dgm:pt modelId="{223441FD-BBC5-ED46-B4F2-F468045C1EED}">
      <dgm:prSet phldrT="[Text]"/>
      <dgm:spPr>
        <a:solidFill>
          <a:srgbClr val="F4B182"/>
        </a:solidFill>
      </dgm:spPr>
      <dgm:t>
        <a:bodyPr/>
        <a:lstStyle/>
        <a:p>
          <a:r>
            <a:rPr lang="en-US"/>
            <a:t>% Auto</a:t>
          </a:r>
        </a:p>
      </dgm:t>
    </dgm:pt>
    <dgm:pt modelId="{58B276FA-FE1C-2642-849E-FD6F32A6AF42}" type="parTrans" cxnId="{2367F89F-10E1-8E41-91BE-E387A6675AB4}">
      <dgm:prSet/>
      <dgm:spPr/>
      <dgm:t>
        <a:bodyPr/>
        <a:lstStyle/>
        <a:p>
          <a:endParaRPr lang="en-US"/>
        </a:p>
      </dgm:t>
    </dgm:pt>
    <dgm:pt modelId="{68A5B37E-EAE9-494A-9FD4-A2980D28AEE2}" type="sibTrans" cxnId="{2367F89F-10E1-8E41-91BE-E387A6675AB4}">
      <dgm:prSet/>
      <dgm:spPr/>
      <dgm:t>
        <a:bodyPr/>
        <a:lstStyle/>
        <a:p>
          <a:endParaRPr lang="en-US"/>
        </a:p>
      </dgm:t>
    </dgm:pt>
    <dgm:pt modelId="{E14DC668-9D91-7344-99CD-0481C4BEF61B}">
      <dgm:prSet phldrT="[Text]"/>
      <dgm:spPr>
        <a:solidFill>
          <a:srgbClr val="99BFE1"/>
        </a:solidFill>
      </dgm:spPr>
      <dgm:t>
        <a:bodyPr/>
        <a:lstStyle/>
        <a:p>
          <a:r>
            <a:rPr lang="en-US"/>
            <a:t>% surface TC</a:t>
          </a:r>
        </a:p>
      </dgm:t>
    </dgm:pt>
    <dgm:pt modelId="{13AA61D7-A71E-D044-926F-678AC2499EDB}" type="parTrans" cxnId="{F84A6BC2-2884-6842-8574-722CBABABC80}">
      <dgm:prSet/>
      <dgm:spPr/>
      <dgm:t>
        <a:bodyPr/>
        <a:lstStyle/>
        <a:p>
          <a:endParaRPr lang="en-US"/>
        </a:p>
      </dgm:t>
    </dgm:pt>
    <dgm:pt modelId="{68F55F9A-2499-724A-B7B1-86C670C10619}" type="sibTrans" cxnId="{F84A6BC2-2884-6842-8574-722CBABABC80}">
      <dgm:prSet/>
      <dgm:spPr/>
      <dgm:t>
        <a:bodyPr/>
        <a:lstStyle/>
        <a:p>
          <a:endParaRPr lang="en-US"/>
        </a:p>
      </dgm:t>
    </dgm:pt>
    <dgm:pt modelId="{FECBE698-697B-AE4C-90BD-6B89B572BEE5}">
      <dgm:prSet phldrT="[Text]"/>
      <dgm:spPr>
        <a:solidFill>
          <a:srgbClr val="99BFE1"/>
        </a:solidFill>
      </dgm:spPr>
      <dgm:t>
        <a:bodyPr/>
        <a:lstStyle/>
        <a:p>
          <a:r>
            <a:rPr lang="en-US"/>
            <a:t>% motif Travail et Étude</a:t>
          </a:r>
        </a:p>
      </dgm:t>
    </dgm:pt>
    <dgm:pt modelId="{E62C739D-2EF2-7D4E-95CE-D86F580E91C7}" type="parTrans" cxnId="{F1974020-AF63-C141-A958-F08357F170D2}">
      <dgm:prSet/>
      <dgm:spPr/>
      <dgm:t>
        <a:bodyPr/>
        <a:lstStyle/>
        <a:p>
          <a:endParaRPr lang="en-US"/>
        </a:p>
      </dgm:t>
    </dgm:pt>
    <dgm:pt modelId="{A83FD501-044F-4E4C-B37A-A28AC138A4BA}" type="sibTrans" cxnId="{F1974020-AF63-C141-A958-F08357F170D2}">
      <dgm:prSet/>
      <dgm:spPr/>
      <dgm:t>
        <a:bodyPr/>
        <a:lstStyle/>
        <a:p>
          <a:endParaRPr lang="en-US"/>
        </a:p>
      </dgm:t>
    </dgm:pt>
    <dgm:pt modelId="{F768B24F-7705-DF45-915A-46F07D56BE53}">
      <dgm:prSet/>
      <dgm:spPr>
        <a:solidFill>
          <a:srgbClr val="92D050"/>
        </a:solidFill>
      </dgm:spPr>
      <dgm:t>
        <a:bodyPr/>
        <a:lstStyle/>
        <a:p>
          <a:r>
            <a:rPr lang="en-US"/>
            <a:t>% surface Vélo</a:t>
          </a:r>
        </a:p>
      </dgm:t>
    </dgm:pt>
    <dgm:pt modelId="{D3C78965-A7BD-A14B-8FD9-90B43E95A7B2}" type="parTrans" cxnId="{91077B87-D7AB-0142-A534-6E8186E38A77}">
      <dgm:prSet/>
      <dgm:spPr/>
      <dgm:t>
        <a:bodyPr/>
        <a:lstStyle/>
        <a:p>
          <a:endParaRPr lang="en-US"/>
        </a:p>
      </dgm:t>
    </dgm:pt>
    <dgm:pt modelId="{DC4A7366-7301-E941-9953-9FDA04964F5F}" type="sibTrans" cxnId="{91077B87-D7AB-0142-A534-6E8186E38A77}">
      <dgm:prSet/>
      <dgm:spPr/>
      <dgm:t>
        <a:bodyPr/>
        <a:lstStyle/>
        <a:p>
          <a:endParaRPr lang="en-US"/>
        </a:p>
      </dgm:t>
    </dgm:pt>
    <dgm:pt modelId="{DBF4B0D0-E7F1-8447-8649-C349BEF897B7}">
      <dgm:prSet/>
      <dgm:spPr>
        <a:solidFill>
          <a:schemeClr val="accent4"/>
        </a:solidFill>
        <a:ln w="38100"/>
      </dgm:spPr>
      <dgm:t>
        <a:bodyPr/>
        <a:lstStyle/>
        <a:p>
          <a:r>
            <a:rPr lang="en-US"/>
            <a:t>% surface Marche</a:t>
          </a:r>
        </a:p>
      </dgm:t>
    </dgm:pt>
    <dgm:pt modelId="{DCDFAACB-2FD9-C945-B04D-A92E30F611E9}" type="parTrans" cxnId="{5B8184D0-4C78-4D41-A860-268F58363360}">
      <dgm:prSet/>
      <dgm:spPr/>
      <dgm:t>
        <a:bodyPr/>
        <a:lstStyle/>
        <a:p>
          <a:endParaRPr lang="en-US"/>
        </a:p>
      </dgm:t>
    </dgm:pt>
    <dgm:pt modelId="{0DE26E3F-2B91-9040-81A3-70BCF68E7977}" type="sibTrans" cxnId="{5B8184D0-4C78-4D41-A860-268F58363360}">
      <dgm:prSet/>
      <dgm:spPr/>
      <dgm:t>
        <a:bodyPr/>
        <a:lstStyle/>
        <a:p>
          <a:endParaRPr lang="en-US"/>
        </a:p>
      </dgm:t>
    </dgm:pt>
    <dgm:pt modelId="{94AB67DC-D4ED-5940-BA7B-FA8262D7E432}">
      <dgm:prSet/>
      <dgm:spPr>
        <a:solidFill>
          <a:srgbClr val="F4B182"/>
        </a:solidFill>
        <a:ln w="38100">
          <a:solidFill>
            <a:schemeClr val="tx1"/>
          </a:solidFill>
        </a:ln>
      </dgm:spPr>
      <dgm:t>
        <a:bodyPr/>
        <a:lstStyle/>
        <a:p>
          <a:r>
            <a:rPr lang="en-US"/>
            <a:t>% MTL seulement</a:t>
          </a:r>
        </a:p>
      </dgm:t>
    </dgm:pt>
    <dgm:pt modelId="{82D7C1CC-605D-6548-AB59-B3F935CDAC4F}" type="parTrans" cxnId="{24760967-4457-1E44-AA66-91EAC5A61252}">
      <dgm:prSet/>
      <dgm:spPr/>
      <dgm:t>
        <a:bodyPr/>
        <a:lstStyle/>
        <a:p>
          <a:endParaRPr lang="en-US"/>
        </a:p>
      </dgm:t>
    </dgm:pt>
    <dgm:pt modelId="{617A27F4-151B-F74F-9FA0-E178871BD1F5}" type="sibTrans" cxnId="{24760967-4457-1E44-AA66-91EAC5A61252}">
      <dgm:prSet/>
      <dgm:spPr/>
      <dgm:t>
        <a:bodyPr/>
        <a:lstStyle/>
        <a:p>
          <a:endParaRPr lang="en-US"/>
        </a:p>
      </dgm:t>
    </dgm:pt>
    <dgm:pt modelId="{2AA961B4-CF5A-AA4B-ABFD-B970A3563591}">
      <dgm:prSet/>
      <dgm:spPr>
        <a:solidFill>
          <a:srgbClr val="F4B182"/>
        </a:solidFill>
      </dgm:spPr>
      <dgm:t>
        <a:bodyPr/>
        <a:lstStyle/>
        <a:p>
          <a:r>
            <a:rPr lang="en-US"/>
            <a:t>% Hors Montréal</a:t>
          </a:r>
        </a:p>
      </dgm:t>
    </dgm:pt>
    <dgm:pt modelId="{B6C5B544-7688-634A-A80E-7091DAD5D138}" type="parTrans" cxnId="{7624675B-2DE3-1E42-B286-5150954A839E}">
      <dgm:prSet/>
      <dgm:spPr/>
      <dgm:t>
        <a:bodyPr/>
        <a:lstStyle/>
        <a:p>
          <a:endParaRPr lang="en-US"/>
        </a:p>
      </dgm:t>
    </dgm:pt>
    <dgm:pt modelId="{D9340F22-0DB7-174D-B4F0-B1C6550A4455}" type="sibTrans" cxnId="{7624675B-2DE3-1E42-B286-5150954A839E}">
      <dgm:prSet/>
      <dgm:spPr/>
      <dgm:t>
        <a:bodyPr/>
        <a:lstStyle/>
        <a:p>
          <a:endParaRPr lang="en-US"/>
        </a:p>
      </dgm:t>
    </dgm:pt>
    <dgm:pt modelId="{0B86FF51-1082-5449-AA6C-4094AAA1E496}">
      <dgm:prSet/>
      <dgm:spPr>
        <a:solidFill>
          <a:srgbClr val="99BFE1"/>
        </a:solidFill>
      </dgm:spPr>
      <dgm:t>
        <a:bodyPr/>
        <a:lstStyle/>
        <a:p>
          <a:r>
            <a:rPr lang="en-US"/>
            <a:t>% motif autre</a:t>
          </a:r>
        </a:p>
      </dgm:t>
    </dgm:pt>
    <dgm:pt modelId="{944BB3E3-4AA3-8C41-B534-380D656F1F3C}" type="parTrans" cxnId="{8DC106EB-D377-844D-BB74-879BA2E7A1DC}">
      <dgm:prSet/>
      <dgm:spPr/>
      <dgm:t>
        <a:bodyPr/>
        <a:lstStyle/>
        <a:p>
          <a:endParaRPr lang="en-US"/>
        </a:p>
      </dgm:t>
    </dgm:pt>
    <dgm:pt modelId="{231993A8-7A8C-C843-9426-87638ABF233A}" type="sibTrans" cxnId="{8DC106EB-D377-844D-BB74-879BA2E7A1DC}">
      <dgm:prSet/>
      <dgm:spPr/>
      <dgm:t>
        <a:bodyPr/>
        <a:lstStyle/>
        <a:p>
          <a:endParaRPr lang="en-US"/>
        </a:p>
      </dgm:t>
    </dgm:pt>
    <dgm:pt modelId="{86298B05-0209-F54D-B21D-1262BD186F7B}">
      <dgm:prSet/>
      <dgm:spPr>
        <a:solidFill>
          <a:srgbClr val="99BFE1"/>
        </a:solidFill>
        <a:ln w="38100">
          <a:solidFill>
            <a:schemeClr val="tx1"/>
          </a:solidFill>
        </a:ln>
      </dgm:spPr>
      <dgm:t>
        <a:bodyPr/>
        <a:lstStyle/>
        <a:p>
          <a:r>
            <a:rPr lang="en-US"/>
            <a:t>% MTL seulement</a:t>
          </a:r>
        </a:p>
      </dgm:t>
    </dgm:pt>
    <dgm:pt modelId="{086A4FFB-E1E2-8C40-831C-3342DE672B50}" type="parTrans" cxnId="{2F06C39B-6C79-4244-B361-5019CEBBEDE7}">
      <dgm:prSet/>
      <dgm:spPr/>
      <dgm:t>
        <a:bodyPr/>
        <a:lstStyle/>
        <a:p>
          <a:endParaRPr lang="en-US"/>
        </a:p>
      </dgm:t>
    </dgm:pt>
    <dgm:pt modelId="{2AD15457-C972-CB44-9B10-72EB8361BEE2}" type="sibTrans" cxnId="{2F06C39B-6C79-4244-B361-5019CEBBEDE7}">
      <dgm:prSet/>
      <dgm:spPr/>
      <dgm:t>
        <a:bodyPr/>
        <a:lstStyle/>
        <a:p>
          <a:endParaRPr lang="en-US"/>
        </a:p>
      </dgm:t>
    </dgm:pt>
    <dgm:pt modelId="{7E98F796-04BF-1846-B509-9353E56F41EB}">
      <dgm:prSet/>
      <dgm:spPr>
        <a:solidFill>
          <a:srgbClr val="99BFE1"/>
        </a:solidFill>
      </dgm:spPr>
      <dgm:t>
        <a:bodyPr/>
        <a:lstStyle/>
        <a:p>
          <a:r>
            <a:rPr lang="en-US"/>
            <a:t>% Hors Montréal</a:t>
          </a:r>
        </a:p>
      </dgm:t>
    </dgm:pt>
    <dgm:pt modelId="{F6200617-CED9-3A46-B49D-AF8B7A54B99E}" type="parTrans" cxnId="{7F26055A-B651-A645-BDBC-E2C61219E1B6}">
      <dgm:prSet/>
      <dgm:spPr/>
      <dgm:t>
        <a:bodyPr/>
        <a:lstStyle/>
        <a:p>
          <a:endParaRPr lang="en-US"/>
        </a:p>
      </dgm:t>
    </dgm:pt>
    <dgm:pt modelId="{41B5E429-68C5-BA43-858B-1883B02B43FA}" type="sibTrans" cxnId="{7F26055A-B651-A645-BDBC-E2C61219E1B6}">
      <dgm:prSet/>
      <dgm:spPr/>
      <dgm:t>
        <a:bodyPr/>
        <a:lstStyle/>
        <a:p>
          <a:endParaRPr lang="en-US"/>
        </a:p>
      </dgm:t>
    </dgm:pt>
    <dgm:pt modelId="{3913A98C-BFC4-814B-8FE4-E9DF0A483A6B}">
      <dgm:prSet/>
      <dgm:spPr>
        <a:solidFill>
          <a:srgbClr val="92D050"/>
        </a:solidFill>
        <a:ln w="38100"/>
      </dgm:spPr>
      <dgm:t>
        <a:bodyPr/>
        <a:lstStyle/>
        <a:p>
          <a:r>
            <a:rPr lang="en-US"/>
            <a:t>% utilitaire</a:t>
          </a:r>
        </a:p>
      </dgm:t>
    </dgm:pt>
    <dgm:pt modelId="{CF2184F5-70C3-684E-AFE1-952A8A114ABE}" type="parTrans" cxnId="{73BAEB1D-0C60-7842-A8E8-6F131A1289A0}">
      <dgm:prSet/>
      <dgm:spPr/>
      <dgm:t>
        <a:bodyPr/>
        <a:lstStyle/>
        <a:p>
          <a:endParaRPr lang="en-US"/>
        </a:p>
      </dgm:t>
    </dgm:pt>
    <dgm:pt modelId="{3B658FC1-19FD-A044-B6BC-D478987933C5}" type="sibTrans" cxnId="{73BAEB1D-0C60-7842-A8E8-6F131A1289A0}">
      <dgm:prSet/>
      <dgm:spPr/>
      <dgm:t>
        <a:bodyPr/>
        <a:lstStyle/>
        <a:p>
          <a:endParaRPr lang="en-US"/>
        </a:p>
      </dgm:t>
    </dgm:pt>
    <dgm:pt modelId="{43A1A615-3981-1941-982E-5C386A32EEBD}">
      <dgm:prSet/>
      <dgm:spPr>
        <a:solidFill>
          <a:srgbClr val="92D050"/>
        </a:solidFill>
      </dgm:spPr>
      <dgm:t>
        <a:bodyPr/>
        <a:lstStyle/>
        <a:p>
          <a:r>
            <a:rPr lang="en-US"/>
            <a:t>% autre</a:t>
          </a:r>
        </a:p>
      </dgm:t>
    </dgm:pt>
    <dgm:pt modelId="{BD703A14-D856-F942-ADE9-9A0B06B01082}" type="parTrans" cxnId="{0A1F4317-228C-334B-A409-4876636B9101}">
      <dgm:prSet/>
      <dgm:spPr/>
      <dgm:t>
        <a:bodyPr/>
        <a:lstStyle/>
        <a:p>
          <a:endParaRPr lang="en-US"/>
        </a:p>
      </dgm:t>
    </dgm:pt>
    <dgm:pt modelId="{0C649480-9262-5C4D-9516-2939A2861D56}" type="sibTrans" cxnId="{0A1F4317-228C-334B-A409-4876636B9101}">
      <dgm:prSet/>
      <dgm:spPr/>
      <dgm:t>
        <a:bodyPr/>
        <a:lstStyle/>
        <a:p>
          <a:endParaRPr lang="en-US"/>
        </a:p>
      </dgm:t>
    </dgm:pt>
    <dgm:pt modelId="{C3E4C31C-751E-0344-A246-A7E5007D6979}" type="pres">
      <dgm:prSet presAssocID="{845C7F75-F1FE-C846-B408-B07A3C8CE23A}" presName="diagram" presStyleCnt="0">
        <dgm:presLayoutVars>
          <dgm:chPref val="1"/>
          <dgm:dir/>
          <dgm:animOne val="branch"/>
          <dgm:animLvl val="lvl"/>
          <dgm:resizeHandles val="exact"/>
        </dgm:presLayoutVars>
      </dgm:prSet>
      <dgm:spPr/>
    </dgm:pt>
    <dgm:pt modelId="{0152F3C0-5495-3849-975A-F703A84752AD}" type="pres">
      <dgm:prSet presAssocID="{1D4EE467-DEAE-1C49-A68C-02295F5474F2}" presName="root1" presStyleCnt="0"/>
      <dgm:spPr/>
    </dgm:pt>
    <dgm:pt modelId="{0A757011-6914-4641-A821-763743105525}" type="pres">
      <dgm:prSet presAssocID="{1D4EE467-DEAE-1C49-A68C-02295F5474F2}" presName="LevelOneTextNode" presStyleLbl="node0" presStyleIdx="0" presStyleCnt="1">
        <dgm:presLayoutVars>
          <dgm:chPref val="3"/>
        </dgm:presLayoutVars>
      </dgm:prSet>
      <dgm:spPr/>
    </dgm:pt>
    <dgm:pt modelId="{F1729E93-C4B1-A948-89ED-56DD71F8C697}" type="pres">
      <dgm:prSet presAssocID="{1D4EE467-DEAE-1C49-A68C-02295F5474F2}" presName="level2hierChild" presStyleCnt="0"/>
      <dgm:spPr/>
    </dgm:pt>
    <dgm:pt modelId="{BFD09569-E47C-FC42-8284-9407006CCB5D}" type="pres">
      <dgm:prSet presAssocID="{7F4AC7CC-607B-4341-BCF0-4F99EA53193B}" presName="conn2-1" presStyleLbl="parChTrans1D2" presStyleIdx="0" presStyleCnt="4"/>
      <dgm:spPr/>
    </dgm:pt>
    <dgm:pt modelId="{B6033058-9FF9-8F40-9BA5-0B2B5D1100F0}" type="pres">
      <dgm:prSet presAssocID="{7F4AC7CC-607B-4341-BCF0-4F99EA53193B}" presName="connTx" presStyleLbl="parChTrans1D2" presStyleIdx="0" presStyleCnt="4"/>
      <dgm:spPr/>
    </dgm:pt>
    <dgm:pt modelId="{36719642-36AB-EF49-8BE3-AE1B15D842B3}" type="pres">
      <dgm:prSet presAssocID="{84449934-C075-1C45-B0D1-457EDF192DC0}" presName="root2" presStyleCnt="0"/>
      <dgm:spPr/>
    </dgm:pt>
    <dgm:pt modelId="{BC85D687-250A-5949-A257-4CE89C961CBE}" type="pres">
      <dgm:prSet presAssocID="{84449934-C075-1C45-B0D1-457EDF192DC0}" presName="LevelTwoTextNode" presStyleLbl="node2" presStyleIdx="0" presStyleCnt="4">
        <dgm:presLayoutVars>
          <dgm:chPref val="3"/>
        </dgm:presLayoutVars>
      </dgm:prSet>
      <dgm:spPr/>
    </dgm:pt>
    <dgm:pt modelId="{B8562EEA-AB9C-DD4F-9858-35CE2FCDCBB2}" type="pres">
      <dgm:prSet presAssocID="{84449934-C075-1C45-B0D1-457EDF192DC0}" presName="level3hierChild" presStyleCnt="0"/>
      <dgm:spPr/>
    </dgm:pt>
    <dgm:pt modelId="{D2C5F37A-FAD2-3B4C-840F-AD84FBA24D38}" type="pres">
      <dgm:prSet presAssocID="{A6B77F36-3D3D-1747-AA73-0AA3B901244E}" presName="conn2-1" presStyleLbl="parChTrans1D3" presStyleIdx="0" presStyleCnt="6"/>
      <dgm:spPr/>
    </dgm:pt>
    <dgm:pt modelId="{2F95036F-DD09-AA42-A702-FA98F1A1AA5B}" type="pres">
      <dgm:prSet presAssocID="{A6B77F36-3D3D-1747-AA73-0AA3B901244E}" presName="connTx" presStyleLbl="parChTrans1D3" presStyleIdx="0" presStyleCnt="6"/>
      <dgm:spPr/>
    </dgm:pt>
    <dgm:pt modelId="{F1ABB2CE-AC31-2E46-B3B9-D43EC620128E}" type="pres">
      <dgm:prSet presAssocID="{C1ECF0BC-16E8-A948-83BC-14D0772F58AE}" presName="root2" presStyleCnt="0"/>
      <dgm:spPr/>
    </dgm:pt>
    <dgm:pt modelId="{06E9BE22-E5CC-3E48-8992-7BB1EC5AF080}" type="pres">
      <dgm:prSet presAssocID="{C1ECF0BC-16E8-A948-83BC-14D0772F58AE}" presName="LevelTwoTextNode" presStyleLbl="node3" presStyleIdx="0" presStyleCnt="6">
        <dgm:presLayoutVars>
          <dgm:chPref val="3"/>
        </dgm:presLayoutVars>
      </dgm:prSet>
      <dgm:spPr/>
    </dgm:pt>
    <dgm:pt modelId="{A06A0EFD-2A88-2D45-AB57-E730B7C622D3}" type="pres">
      <dgm:prSet presAssocID="{C1ECF0BC-16E8-A948-83BC-14D0772F58AE}" presName="level3hierChild" presStyleCnt="0"/>
      <dgm:spPr/>
    </dgm:pt>
    <dgm:pt modelId="{06799799-0F38-F142-879D-C6EF0ED5DEAB}" type="pres">
      <dgm:prSet presAssocID="{58B276FA-FE1C-2642-849E-FD6F32A6AF42}" presName="conn2-1" presStyleLbl="parChTrans1D3" presStyleIdx="1" presStyleCnt="6"/>
      <dgm:spPr/>
    </dgm:pt>
    <dgm:pt modelId="{62D92EE8-5C89-CF41-8519-ACD40309BA9F}" type="pres">
      <dgm:prSet presAssocID="{58B276FA-FE1C-2642-849E-FD6F32A6AF42}" presName="connTx" presStyleLbl="parChTrans1D3" presStyleIdx="1" presStyleCnt="6"/>
      <dgm:spPr/>
    </dgm:pt>
    <dgm:pt modelId="{866EC18D-E69D-334F-8A34-C9A9BBD6A751}" type="pres">
      <dgm:prSet presAssocID="{223441FD-BBC5-ED46-B4F2-F468045C1EED}" presName="root2" presStyleCnt="0"/>
      <dgm:spPr/>
    </dgm:pt>
    <dgm:pt modelId="{7FE25B23-E3DF-A74C-8FF7-6093EF060143}" type="pres">
      <dgm:prSet presAssocID="{223441FD-BBC5-ED46-B4F2-F468045C1EED}" presName="LevelTwoTextNode" presStyleLbl="node3" presStyleIdx="1" presStyleCnt="6">
        <dgm:presLayoutVars>
          <dgm:chPref val="3"/>
        </dgm:presLayoutVars>
      </dgm:prSet>
      <dgm:spPr/>
    </dgm:pt>
    <dgm:pt modelId="{97965290-3C1A-AC47-8EDA-B5A175526C65}" type="pres">
      <dgm:prSet presAssocID="{223441FD-BBC5-ED46-B4F2-F468045C1EED}" presName="level3hierChild" presStyleCnt="0"/>
      <dgm:spPr/>
    </dgm:pt>
    <dgm:pt modelId="{2F022687-7AD4-3745-BD03-E362C7C14349}" type="pres">
      <dgm:prSet presAssocID="{82D7C1CC-605D-6548-AB59-B3F935CDAC4F}" presName="conn2-1" presStyleLbl="parChTrans1D4" presStyleIdx="0" presStyleCnt="4"/>
      <dgm:spPr/>
    </dgm:pt>
    <dgm:pt modelId="{9D2DAE60-80F6-9545-9BC4-1E02526B448D}" type="pres">
      <dgm:prSet presAssocID="{82D7C1CC-605D-6548-AB59-B3F935CDAC4F}" presName="connTx" presStyleLbl="parChTrans1D4" presStyleIdx="0" presStyleCnt="4"/>
      <dgm:spPr/>
    </dgm:pt>
    <dgm:pt modelId="{19EB348F-D94D-474F-A424-535A712815AF}" type="pres">
      <dgm:prSet presAssocID="{94AB67DC-D4ED-5940-BA7B-FA8262D7E432}" presName="root2" presStyleCnt="0"/>
      <dgm:spPr/>
    </dgm:pt>
    <dgm:pt modelId="{5BBD45EF-4B71-3C45-B54A-DED23A7177A7}" type="pres">
      <dgm:prSet presAssocID="{94AB67DC-D4ED-5940-BA7B-FA8262D7E432}" presName="LevelTwoTextNode" presStyleLbl="node4" presStyleIdx="0" presStyleCnt="4">
        <dgm:presLayoutVars>
          <dgm:chPref val="3"/>
        </dgm:presLayoutVars>
      </dgm:prSet>
      <dgm:spPr/>
    </dgm:pt>
    <dgm:pt modelId="{0AB33DF9-2807-5849-95BE-7EB6A501D10F}" type="pres">
      <dgm:prSet presAssocID="{94AB67DC-D4ED-5940-BA7B-FA8262D7E432}" presName="level3hierChild" presStyleCnt="0"/>
      <dgm:spPr/>
    </dgm:pt>
    <dgm:pt modelId="{192235FB-3D5C-5F41-9CF3-E78D28FE8C19}" type="pres">
      <dgm:prSet presAssocID="{B6C5B544-7688-634A-A80E-7091DAD5D138}" presName="conn2-1" presStyleLbl="parChTrans1D4" presStyleIdx="1" presStyleCnt="4"/>
      <dgm:spPr/>
    </dgm:pt>
    <dgm:pt modelId="{88CD3195-F660-7D4A-80A5-39BB6DE436E1}" type="pres">
      <dgm:prSet presAssocID="{B6C5B544-7688-634A-A80E-7091DAD5D138}" presName="connTx" presStyleLbl="parChTrans1D4" presStyleIdx="1" presStyleCnt="4"/>
      <dgm:spPr/>
    </dgm:pt>
    <dgm:pt modelId="{C11FB098-83A1-8F45-A099-26BD17AE299D}" type="pres">
      <dgm:prSet presAssocID="{2AA961B4-CF5A-AA4B-ABFD-B970A3563591}" presName="root2" presStyleCnt="0"/>
      <dgm:spPr/>
    </dgm:pt>
    <dgm:pt modelId="{4118286B-5D10-CD47-9088-BD58557B47FE}" type="pres">
      <dgm:prSet presAssocID="{2AA961B4-CF5A-AA4B-ABFD-B970A3563591}" presName="LevelTwoTextNode" presStyleLbl="node4" presStyleIdx="1" presStyleCnt="4">
        <dgm:presLayoutVars>
          <dgm:chPref val="3"/>
        </dgm:presLayoutVars>
      </dgm:prSet>
      <dgm:spPr/>
    </dgm:pt>
    <dgm:pt modelId="{349C2924-6EE4-F944-8E50-7DA3D6B1FCA4}" type="pres">
      <dgm:prSet presAssocID="{2AA961B4-CF5A-AA4B-ABFD-B970A3563591}" presName="level3hierChild" presStyleCnt="0"/>
      <dgm:spPr/>
    </dgm:pt>
    <dgm:pt modelId="{484B0CBB-2F74-374E-93C4-FA13CAA6C7A7}" type="pres">
      <dgm:prSet presAssocID="{13AA61D7-A71E-D044-926F-678AC2499EDB}" presName="conn2-1" presStyleLbl="parChTrans1D2" presStyleIdx="1" presStyleCnt="4"/>
      <dgm:spPr/>
    </dgm:pt>
    <dgm:pt modelId="{DFFC5043-9105-F143-B869-C5B558A1E954}" type="pres">
      <dgm:prSet presAssocID="{13AA61D7-A71E-D044-926F-678AC2499EDB}" presName="connTx" presStyleLbl="parChTrans1D2" presStyleIdx="1" presStyleCnt="4"/>
      <dgm:spPr/>
    </dgm:pt>
    <dgm:pt modelId="{F419AE57-1F5C-A443-959E-8A5E837BC615}" type="pres">
      <dgm:prSet presAssocID="{E14DC668-9D91-7344-99CD-0481C4BEF61B}" presName="root2" presStyleCnt="0"/>
      <dgm:spPr/>
    </dgm:pt>
    <dgm:pt modelId="{5C6B35D9-0398-2143-B0BF-1E58F0956F4F}" type="pres">
      <dgm:prSet presAssocID="{E14DC668-9D91-7344-99CD-0481C4BEF61B}" presName="LevelTwoTextNode" presStyleLbl="node2" presStyleIdx="1" presStyleCnt="4">
        <dgm:presLayoutVars>
          <dgm:chPref val="3"/>
        </dgm:presLayoutVars>
      </dgm:prSet>
      <dgm:spPr/>
    </dgm:pt>
    <dgm:pt modelId="{210EE7EF-D0CD-E64E-9255-334089727BD7}" type="pres">
      <dgm:prSet presAssocID="{E14DC668-9D91-7344-99CD-0481C4BEF61B}" presName="level3hierChild" presStyleCnt="0"/>
      <dgm:spPr/>
    </dgm:pt>
    <dgm:pt modelId="{372C61F1-5227-5341-A2B0-E3AE5C3D5B36}" type="pres">
      <dgm:prSet presAssocID="{E62C739D-2EF2-7D4E-95CE-D86F580E91C7}" presName="conn2-1" presStyleLbl="parChTrans1D3" presStyleIdx="2" presStyleCnt="6"/>
      <dgm:spPr/>
    </dgm:pt>
    <dgm:pt modelId="{199B7EAB-0A89-6540-A225-D20180D18F2B}" type="pres">
      <dgm:prSet presAssocID="{E62C739D-2EF2-7D4E-95CE-D86F580E91C7}" presName="connTx" presStyleLbl="parChTrans1D3" presStyleIdx="2" presStyleCnt="6"/>
      <dgm:spPr/>
    </dgm:pt>
    <dgm:pt modelId="{DB4A4CA9-7D54-7940-9D50-C61563E993CC}" type="pres">
      <dgm:prSet presAssocID="{FECBE698-697B-AE4C-90BD-6B89B572BEE5}" presName="root2" presStyleCnt="0"/>
      <dgm:spPr/>
    </dgm:pt>
    <dgm:pt modelId="{BD9B701E-0BEB-6241-BDF9-F46B147852DA}" type="pres">
      <dgm:prSet presAssocID="{FECBE698-697B-AE4C-90BD-6B89B572BEE5}" presName="LevelTwoTextNode" presStyleLbl="node3" presStyleIdx="2" presStyleCnt="6">
        <dgm:presLayoutVars>
          <dgm:chPref val="3"/>
        </dgm:presLayoutVars>
      </dgm:prSet>
      <dgm:spPr/>
    </dgm:pt>
    <dgm:pt modelId="{07DFBC17-DDAD-4746-AD79-F39EC88EDFDB}" type="pres">
      <dgm:prSet presAssocID="{FECBE698-697B-AE4C-90BD-6B89B572BEE5}" presName="level3hierChild" presStyleCnt="0"/>
      <dgm:spPr/>
    </dgm:pt>
    <dgm:pt modelId="{7334B60D-5086-1446-8B25-AEF53283AC52}" type="pres">
      <dgm:prSet presAssocID="{086A4FFB-E1E2-8C40-831C-3342DE672B50}" presName="conn2-1" presStyleLbl="parChTrans1D4" presStyleIdx="2" presStyleCnt="4"/>
      <dgm:spPr/>
    </dgm:pt>
    <dgm:pt modelId="{11A1C9F9-8E14-5348-A7A3-8FA1DA506D72}" type="pres">
      <dgm:prSet presAssocID="{086A4FFB-E1E2-8C40-831C-3342DE672B50}" presName="connTx" presStyleLbl="parChTrans1D4" presStyleIdx="2" presStyleCnt="4"/>
      <dgm:spPr/>
    </dgm:pt>
    <dgm:pt modelId="{EABBB1C1-38B1-AA42-8448-45F35E3D07B3}" type="pres">
      <dgm:prSet presAssocID="{86298B05-0209-F54D-B21D-1262BD186F7B}" presName="root2" presStyleCnt="0"/>
      <dgm:spPr/>
    </dgm:pt>
    <dgm:pt modelId="{9B9C24B1-5AFF-5F48-A6EE-2A38D0FA8805}" type="pres">
      <dgm:prSet presAssocID="{86298B05-0209-F54D-B21D-1262BD186F7B}" presName="LevelTwoTextNode" presStyleLbl="node4" presStyleIdx="2" presStyleCnt="4">
        <dgm:presLayoutVars>
          <dgm:chPref val="3"/>
        </dgm:presLayoutVars>
      </dgm:prSet>
      <dgm:spPr/>
    </dgm:pt>
    <dgm:pt modelId="{ADE6FFD2-5985-9F46-889C-212A2960FE4D}" type="pres">
      <dgm:prSet presAssocID="{86298B05-0209-F54D-B21D-1262BD186F7B}" presName="level3hierChild" presStyleCnt="0"/>
      <dgm:spPr/>
    </dgm:pt>
    <dgm:pt modelId="{B6C72CA7-DC82-C148-BB66-C1BE97CA48FA}" type="pres">
      <dgm:prSet presAssocID="{F6200617-CED9-3A46-B49D-AF8B7A54B99E}" presName="conn2-1" presStyleLbl="parChTrans1D4" presStyleIdx="3" presStyleCnt="4"/>
      <dgm:spPr/>
    </dgm:pt>
    <dgm:pt modelId="{31D32CA6-FFD0-1741-BB29-C27309F69978}" type="pres">
      <dgm:prSet presAssocID="{F6200617-CED9-3A46-B49D-AF8B7A54B99E}" presName="connTx" presStyleLbl="parChTrans1D4" presStyleIdx="3" presStyleCnt="4"/>
      <dgm:spPr/>
    </dgm:pt>
    <dgm:pt modelId="{3EDC4BC6-1D72-C544-89DC-91069E9C6C8D}" type="pres">
      <dgm:prSet presAssocID="{7E98F796-04BF-1846-B509-9353E56F41EB}" presName="root2" presStyleCnt="0"/>
      <dgm:spPr/>
    </dgm:pt>
    <dgm:pt modelId="{31CE1F89-D772-9543-A5CC-7E1AAB2A0956}" type="pres">
      <dgm:prSet presAssocID="{7E98F796-04BF-1846-B509-9353E56F41EB}" presName="LevelTwoTextNode" presStyleLbl="node4" presStyleIdx="3" presStyleCnt="4">
        <dgm:presLayoutVars>
          <dgm:chPref val="3"/>
        </dgm:presLayoutVars>
      </dgm:prSet>
      <dgm:spPr/>
    </dgm:pt>
    <dgm:pt modelId="{8974790F-AC4D-584E-B8A5-77071CCA395F}" type="pres">
      <dgm:prSet presAssocID="{7E98F796-04BF-1846-B509-9353E56F41EB}" presName="level3hierChild" presStyleCnt="0"/>
      <dgm:spPr/>
    </dgm:pt>
    <dgm:pt modelId="{86D142B6-12E8-9447-B43C-7F87158550CD}" type="pres">
      <dgm:prSet presAssocID="{944BB3E3-4AA3-8C41-B534-380D656F1F3C}" presName="conn2-1" presStyleLbl="parChTrans1D3" presStyleIdx="3" presStyleCnt="6"/>
      <dgm:spPr/>
    </dgm:pt>
    <dgm:pt modelId="{B0D94FB1-1252-0046-9B40-55BC26BDC2DD}" type="pres">
      <dgm:prSet presAssocID="{944BB3E3-4AA3-8C41-B534-380D656F1F3C}" presName="connTx" presStyleLbl="parChTrans1D3" presStyleIdx="3" presStyleCnt="6"/>
      <dgm:spPr/>
    </dgm:pt>
    <dgm:pt modelId="{6BD9E38F-C123-2942-9D41-427FCF0A0B12}" type="pres">
      <dgm:prSet presAssocID="{0B86FF51-1082-5449-AA6C-4094AAA1E496}" presName="root2" presStyleCnt="0"/>
      <dgm:spPr/>
    </dgm:pt>
    <dgm:pt modelId="{B0C0681F-7703-F041-A441-509350E09F32}" type="pres">
      <dgm:prSet presAssocID="{0B86FF51-1082-5449-AA6C-4094AAA1E496}" presName="LevelTwoTextNode" presStyleLbl="node3" presStyleIdx="3" presStyleCnt="6">
        <dgm:presLayoutVars>
          <dgm:chPref val="3"/>
        </dgm:presLayoutVars>
      </dgm:prSet>
      <dgm:spPr/>
    </dgm:pt>
    <dgm:pt modelId="{B3488407-59D1-3B47-AB29-F6A9ED787195}" type="pres">
      <dgm:prSet presAssocID="{0B86FF51-1082-5449-AA6C-4094AAA1E496}" presName="level3hierChild" presStyleCnt="0"/>
      <dgm:spPr/>
    </dgm:pt>
    <dgm:pt modelId="{715283C1-13DC-5049-AB42-1E464781DBBE}" type="pres">
      <dgm:prSet presAssocID="{D3C78965-A7BD-A14B-8FD9-90B43E95A7B2}" presName="conn2-1" presStyleLbl="parChTrans1D2" presStyleIdx="2" presStyleCnt="4"/>
      <dgm:spPr/>
    </dgm:pt>
    <dgm:pt modelId="{6A339F65-A776-D742-9592-75499DF87E73}" type="pres">
      <dgm:prSet presAssocID="{D3C78965-A7BD-A14B-8FD9-90B43E95A7B2}" presName="connTx" presStyleLbl="parChTrans1D2" presStyleIdx="2" presStyleCnt="4"/>
      <dgm:spPr/>
    </dgm:pt>
    <dgm:pt modelId="{4DDD3F3A-280B-E54E-933A-BCED0ABB2807}" type="pres">
      <dgm:prSet presAssocID="{F768B24F-7705-DF45-915A-46F07D56BE53}" presName="root2" presStyleCnt="0"/>
      <dgm:spPr/>
    </dgm:pt>
    <dgm:pt modelId="{99A646EF-6039-7947-AE06-D24145073D7B}" type="pres">
      <dgm:prSet presAssocID="{F768B24F-7705-DF45-915A-46F07D56BE53}" presName="LevelTwoTextNode" presStyleLbl="node2" presStyleIdx="2" presStyleCnt="4">
        <dgm:presLayoutVars>
          <dgm:chPref val="3"/>
        </dgm:presLayoutVars>
      </dgm:prSet>
      <dgm:spPr/>
    </dgm:pt>
    <dgm:pt modelId="{B282057F-6B69-0D47-939C-C4232EEC0D59}" type="pres">
      <dgm:prSet presAssocID="{F768B24F-7705-DF45-915A-46F07D56BE53}" presName="level3hierChild" presStyleCnt="0"/>
      <dgm:spPr/>
    </dgm:pt>
    <dgm:pt modelId="{FC6221D1-DF87-3840-838A-1A48C9661405}" type="pres">
      <dgm:prSet presAssocID="{CF2184F5-70C3-684E-AFE1-952A8A114ABE}" presName="conn2-1" presStyleLbl="parChTrans1D3" presStyleIdx="4" presStyleCnt="6"/>
      <dgm:spPr/>
    </dgm:pt>
    <dgm:pt modelId="{9A437F7A-9D05-8049-AB45-7BC4C5307156}" type="pres">
      <dgm:prSet presAssocID="{CF2184F5-70C3-684E-AFE1-952A8A114ABE}" presName="connTx" presStyleLbl="parChTrans1D3" presStyleIdx="4" presStyleCnt="6"/>
      <dgm:spPr/>
    </dgm:pt>
    <dgm:pt modelId="{DA024C38-93B3-1742-A786-5B584B1D1F74}" type="pres">
      <dgm:prSet presAssocID="{3913A98C-BFC4-814B-8FE4-E9DF0A483A6B}" presName="root2" presStyleCnt="0"/>
      <dgm:spPr/>
    </dgm:pt>
    <dgm:pt modelId="{255A0E31-1EA7-1F4A-9F23-F62ADD1585AC}" type="pres">
      <dgm:prSet presAssocID="{3913A98C-BFC4-814B-8FE4-E9DF0A483A6B}" presName="LevelTwoTextNode" presStyleLbl="node3" presStyleIdx="4" presStyleCnt="6">
        <dgm:presLayoutVars>
          <dgm:chPref val="3"/>
        </dgm:presLayoutVars>
      </dgm:prSet>
      <dgm:spPr/>
    </dgm:pt>
    <dgm:pt modelId="{288DF9DE-2A60-6043-AF36-6ACE718D58DA}" type="pres">
      <dgm:prSet presAssocID="{3913A98C-BFC4-814B-8FE4-E9DF0A483A6B}" presName="level3hierChild" presStyleCnt="0"/>
      <dgm:spPr/>
    </dgm:pt>
    <dgm:pt modelId="{6CAD4F7A-25AC-0C4C-A636-F5920373C0BE}" type="pres">
      <dgm:prSet presAssocID="{BD703A14-D856-F942-ADE9-9A0B06B01082}" presName="conn2-1" presStyleLbl="parChTrans1D3" presStyleIdx="5" presStyleCnt="6"/>
      <dgm:spPr/>
    </dgm:pt>
    <dgm:pt modelId="{2CC78A4A-DFBE-184E-8B91-28540AE9EE58}" type="pres">
      <dgm:prSet presAssocID="{BD703A14-D856-F942-ADE9-9A0B06B01082}" presName="connTx" presStyleLbl="parChTrans1D3" presStyleIdx="5" presStyleCnt="6"/>
      <dgm:spPr/>
    </dgm:pt>
    <dgm:pt modelId="{BE15AA9D-4C96-C94B-8DAE-BCBE7DC9BF1E}" type="pres">
      <dgm:prSet presAssocID="{43A1A615-3981-1941-982E-5C386A32EEBD}" presName="root2" presStyleCnt="0"/>
      <dgm:spPr/>
    </dgm:pt>
    <dgm:pt modelId="{9812DF29-401E-5841-9CD3-B41BC8F7438B}" type="pres">
      <dgm:prSet presAssocID="{43A1A615-3981-1941-982E-5C386A32EEBD}" presName="LevelTwoTextNode" presStyleLbl="node3" presStyleIdx="5" presStyleCnt="6">
        <dgm:presLayoutVars>
          <dgm:chPref val="3"/>
        </dgm:presLayoutVars>
      </dgm:prSet>
      <dgm:spPr/>
    </dgm:pt>
    <dgm:pt modelId="{A20C19C4-A593-2B40-A25C-CABA1BCFDA01}" type="pres">
      <dgm:prSet presAssocID="{43A1A615-3981-1941-982E-5C386A32EEBD}" presName="level3hierChild" presStyleCnt="0"/>
      <dgm:spPr/>
    </dgm:pt>
    <dgm:pt modelId="{C00E3A78-703A-124A-9FBE-AEAB8E282141}" type="pres">
      <dgm:prSet presAssocID="{DCDFAACB-2FD9-C945-B04D-A92E30F611E9}" presName="conn2-1" presStyleLbl="parChTrans1D2" presStyleIdx="3" presStyleCnt="4"/>
      <dgm:spPr/>
    </dgm:pt>
    <dgm:pt modelId="{83CCF37E-D512-564C-9A62-F58418391324}" type="pres">
      <dgm:prSet presAssocID="{DCDFAACB-2FD9-C945-B04D-A92E30F611E9}" presName="connTx" presStyleLbl="parChTrans1D2" presStyleIdx="3" presStyleCnt="4"/>
      <dgm:spPr/>
    </dgm:pt>
    <dgm:pt modelId="{B659DE9A-66E4-E445-8FA5-139EC4DD40B0}" type="pres">
      <dgm:prSet presAssocID="{DBF4B0D0-E7F1-8447-8649-C349BEF897B7}" presName="root2" presStyleCnt="0"/>
      <dgm:spPr/>
    </dgm:pt>
    <dgm:pt modelId="{C04E3E01-E1B9-2F4A-9EB1-24E61F4B3E27}" type="pres">
      <dgm:prSet presAssocID="{DBF4B0D0-E7F1-8447-8649-C349BEF897B7}" presName="LevelTwoTextNode" presStyleLbl="node2" presStyleIdx="3" presStyleCnt="4">
        <dgm:presLayoutVars>
          <dgm:chPref val="3"/>
        </dgm:presLayoutVars>
      </dgm:prSet>
      <dgm:spPr/>
    </dgm:pt>
    <dgm:pt modelId="{BBF51273-C05F-FE44-A9EB-AD6350C8EEBE}" type="pres">
      <dgm:prSet presAssocID="{DBF4B0D0-E7F1-8447-8649-C349BEF897B7}" presName="level3hierChild" presStyleCnt="0"/>
      <dgm:spPr/>
    </dgm:pt>
  </dgm:ptLst>
  <dgm:cxnLst>
    <dgm:cxn modelId="{5B4B3905-71FF-3741-A74B-AE4F716D3E38}" type="presOf" srcId="{BD703A14-D856-F942-ADE9-9A0B06B01082}" destId="{6CAD4F7A-25AC-0C4C-A636-F5920373C0BE}" srcOrd="0" destOrd="0" presId="urn:microsoft.com/office/officeart/2005/8/layout/hierarchy2"/>
    <dgm:cxn modelId="{D89B3E09-72B6-D94B-A168-554F542338DA}" type="presOf" srcId="{223441FD-BBC5-ED46-B4F2-F468045C1EED}" destId="{7FE25B23-E3DF-A74C-8FF7-6093EF060143}" srcOrd="0" destOrd="0" presId="urn:microsoft.com/office/officeart/2005/8/layout/hierarchy2"/>
    <dgm:cxn modelId="{63775A15-7299-294F-8EFC-D32563315827}" type="presOf" srcId="{E62C739D-2EF2-7D4E-95CE-D86F580E91C7}" destId="{199B7EAB-0A89-6540-A225-D20180D18F2B}" srcOrd="1" destOrd="0" presId="urn:microsoft.com/office/officeart/2005/8/layout/hierarchy2"/>
    <dgm:cxn modelId="{F34E1F16-4C80-0D45-83D9-31B2BFED6EC8}" type="presOf" srcId="{086A4FFB-E1E2-8C40-831C-3342DE672B50}" destId="{11A1C9F9-8E14-5348-A7A3-8FA1DA506D72}" srcOrd="1" destOrd="0" presId="urn:microsoft.com/office/officeart/2005/8/layout/hierarchy2"/>
    <dgm:cxn modelId="{0A1F4317-228C-334B-A409-4876636B9101}" srcId="{F768B24F-7705-DF45-915A-46F07D56BE53}" destId="{43A1A615-3981-1941-982E-5C386A32EEBD}" srcOrd="1" destOrd="0" parTransId="{BD703A14-D856-F942-ADE9-9A0B06B01082}" sibTransId="{0C649480-9262-5C4D-9516-2939A2861D56}"/>
    <dgm:cxn modelId="{73BAEB1D-0C60-7842-A8E8-6F131A1289A0}" srcId="{F768B24F-7705-DF45-915A-46F07D56BE53}" destId="{3913A98C-BFC4-814B-8FE4-E9DF0A483A6B}" srcOrd="0" destOrd="0" parTransId="{CF2184F5-70C3-684E-AFE1-952A8A114ABE}" sibTransId="{3B658FC1-19FD-A044-B6BC-D478987933C5}"/>
    <dgm:cxn modelId="{F1974020-AF63-C141-A958-F08357F170D2}" srcId="{E14DC668-9D91-7344-99CD-0481C4BEF61B}" destId="{FECBE698-697B-AE4C-90BD-6B89B572BEE5}" srcOrd="0" destOrd="0" parTransId="{E62C739D-2EF2-7D4E-95CE-D86F580E91C7}" sibTransId="{A83FD501-044F-4E4C-B37A-A28AC138A4BA}"/>
    <dgm:cxn modelId="{412B9021-129D-6845-B8D4-FF71C322B218}" type="presOf" srcId="{944BB3E3-4AA3-8C41-B534-380D656F1F3C}" destId="{86D142B6-12E8-9447-B43C-7F87158550CD}" srcOrd="0" destOrd="0" presId="urn:microsoft.com/office/officeart/2005/8/layout/hierarchy2"/>
    <dgm:cxn modelId="{139DDF26-2783-B445-ACC4-FAC580677AEA}" type="presOf" srcId="{086A4FFB-E1E2-8C40-831C-3342DE672B50}" destId="{7334B60D-5086-1446-8B25-AEF53283AC52}" srcOrd="0" destOrd="0" presId="urn:microsoft.com/office/officeart/2005/8/layout/hierarchy2"/>
    <dgm:cxn modelId="{00525827-EC7B-1B4F-839A-3D1B04255A03}" type="presOf" srcId="{0B86FF51-1082-5449-AA6C-4094AAA1E496}" destId="{B0C0681F-7703-F041-A441-509350E09F32}" srcOrd="0" destOrd="0" presId="urn:microsoft.com/office/officeart/2005/8/layout/hierarchy2"/>
    <dgm:cxn modelId="{3BED9127-2E13-D649-902B-D9E0EE3441B0}" type="presOf" srcId="{BD703A14-D856-F942-ADE9-9A0B06B01082}" destId="{2CC78A4A-DFBE-184E-8B91-28540AE9EE58}" srcOrd="1" destOrd="0" presId="urn:microsoft.com/office/officeart/2005/8/layout/hierarchy2"/>
    <dgm:cxn modelId="{EFBB252F-BB33-6B41-B298-3BB3170A7D5D}" type="presOf" srcId="{F6200617-CED9-3A46-B49D-AF8B7A54B99E}" destId="{B6C72CA7-DC82-C148-BB66-C1BE97CA48FA}" srcOrd="0" destOrd="0" presId="urn:microsoft.com/office/officeart/2005/8/layout/hierarchy2"/>
    <dgm:cxn modelId="{10620730-4424-144E-B3F5-DBE0B12ECB82}" srcId="{84449934-C075-1C45-B0D1-457EDF192DC0}" destId="{C1ECF0BC-16E8-A948-83BC-14D0772F58AE}" srcOrd="0" destOrd="0" parTransId="{A6B77F36-3D3D-1747-AA73-0AA3B901244E}" sibTransId="{2392003B-A4FC-AB43-9807-AD6166808AEB}"/>
    <dgm:cxn modelId="{5F0CCE37-9C20-854C-8BEF-1E84C3C814F2}" type="presOf" srcId="{7F4AC7CC-607B-4341-BCF0-4F99EA53193B}" destId="{B6033058-9FF9-8F40-9BA5-0B2B5D1100F0}" srcOrd="1" destOrd="0" presId="urn:microsoft.com/office/officeart/2005/8/layout/hierarchy2"/>
    <dgm:cxn modelId="{B3E17149-5A9D-D44B-A83F-0CC60CB64DBB}" type="presOf" srcId="{43A1A615-3981-1941-982E-5C386A32EEBD}" destId="{9812DF29-401E-5841-9CD3-B41BC8F7438B}" srcOrd="0" destOrd="0" presId="urn:microsoft.com/office/officeart/2005/8/layout/hierarchy2"/>
    <dgm:cxn modelId="{0AB95552-C3FA-F74E-A940-8AEE6D19797B}" type="presOf" srcId="{82D7C1CC-605D-6548-AB59-B3F935CDAC4F}" destId="{9D2DAE60-80F6-9545-9BC4-1E02526B448D}" srcOrd="1" destOrd="0" presId="urn:microsoft.com/office/officeart/2005/8/layout/hierarchy2"/>
    <dgm:cxn modelId="{E4967152-9E1E-5A40-A577-C440D74AD285}" type="presOf" srcId="{DBF4B0D0-E7F1-8447-8649-C349BEF897B7}" destId="{C04E3E01-E1B9-2F4A-9EB1-24E61F4B3E27}" srcOrd="0" destOrd="0" presId="urn:microsoft.com/office/officeart/2005/8/layout/hierarchy2"/>
    <dgm:cxn modelId="{7F316759-98C0-3040-ADC4-5210585B8942}" type="presOf" srcId="{D3C78965-A7BD-A14B-8FD9-90B43E95A7B2}" destId="{715283C1-13DC-5049-AB42-1E464781DBBE}" srcOrd="0" destOrd="0" presId="urn:microsoft.com/office/officeart/2005/8/layout/hierarchy2"/>
    <dgm:cxn modelId="{7F26055A-B651-A645-BDBC-E2C61219E1B6}" srcId="{FECBE698-697B-AE4C-90BD-6B89B572BEE5}" destId="{7E98F796-04BF-1846-B509-9353E56F41EB}" srcOrd="1" destOrd="0" parTransId="{F6200617-CED9-3A46-B49D-AF8B7A54B99E}" sibTransId="{41B5E429-68C5-BA43-858B-1883B02B43FA}"/>
    <dgm:cxn modelId="{7624675B-2DE3-1E42-B286-5150954A839E}" srcId="{223441FD-BBC5-ED46-B4F2-F468045C1EED}" destId="{2AA961B4-CF5A-AA4B-ABFD-B970A3563591}" srcOrd="1" destOrd="0" parTransId="{B6C5B544-7688-634A-A80E-7091DAD5D138}" sibTransId="{D9340F22-0DB7-174D-B4F0-B1C6550A4455}"/>
    <dgm:cxn modelId="{4278895E-7C3D-B444-A982-E8DF8A9D726C}" type="presOf" srcId="{13AA61D7-A71E-D044-926F-678AC2499EDB}" destId="{484B0CBB-2F74-374E-93C4-FA13CAA6C7A7}" srcOrd="0" destOrd="0" presId="urn:microsoft.com/office/officeart/2005/8/layout/hierarchy2"/>
    <dgm:cxn modelId="{03AB3561-5CB4-014A-A86F-3CB75FEF9689}" type="presOf" srcId="{FECBE698-697B-AE4C-90BD-6B89B572BEE5}" destId="{BD9B701E-0BEB-6241-BDF9-F46B147852DA}" srcOrd="0" destOrd="0" presId="urn:microsoft.com/office/officeart/2005/8/layout/hierarchy2"/>
    <dgm:cxn modelId="{C71BE363-DEB5-D848-960C-BB58E6AE6ACE}" type="presOf" srcId="{13AA61D7-A71E-D044-926F-678AC2499EDB}" destId="{DFFC5043-9105-F143-B869-C5B558A1E954}" srcOrd="1" destOrd="0" presId="urn:microsoft.com/office/officeart/2005/8/layout/hierarchy2"/>
    <dgm:cxn modelId="{A82FA566-D138-BB4D-8825-346EAF22211B}" type="presOf" srcId="{A6B77F36-3D3D-1747-AA73-0AA3B901244E}" destId="{2F95036F-DD09-AA42-A702-FA98F1A1AA5B}" srcOrd="1" destOrd="0" presId="urn:microsoft.com/office/officeart/2005/8/layout/hierarchy2"/>
    <dgm:cxn modelId="{24760967-4457-1E44-AA66-91EAC5A61252}" srcId="{223441FD-BBC5-ED46-B4F2-F468045C1EED}" destId="{94AB67DC-D4ED-5940-BA7B-FA8262D7E432}" srcOrd="0" destOrd="0" parTransId="{82D7C1CC-605D-6548-AB59-B3F935CDAC4F}" sibTransId="{617A27F4-151B-F74F-9FA0-E178871BD1F5}"/>
    <dgm:cxn modelId="{A11BAF67-175B-574E-BAEC-94AB31F466FD}" type="presOf" srcId="{CF2184F5-70C3-684E-AFE1-952A8A114ABE}" destId="{FC6221D1-DF87-3840-838A-1A48C9661405}" srcOrd="0" destOrd="0" presId="urn:microsoft.com/office/officeart/2005/8/layout/hierarchy2"/>
    <dgm:cxn modelId="{06BDBF67-A6A6-2948-9D76-DFF16AE6EA4F}" type="presOf" srcId="{944BB3E3-4AA3-8C41-B534-380D656F1F3C}" destId="{B0D94FB1-1252-0046-9B40-55BC26BDC2DD}" srcOrd="1" destOrd="0" presId="urn:microsoft.com/office/officeart/2005/8/layout/hierarchy2"/>
    <dgm:cxn modelId="{AD0D3F73-B8A8-6044-9B76-B8B17BB601DF}" srcId="{845C7F75-F1FE-C846-B408-B07A3C8CE23A}" destId="{1D4EE467-DEAE-1C49-A68C-02295F5474F2}" srcOrd="0" destOrd="0" parTransId="{9B8B4292-EBC7-FF4D-BA71-6C77E8A24766}" sibTransId="{ECC93FD2-45F6-6E4C-9B1E-91800E349B14}"/>
    <dgm:cxn modelId="{850C9E75-8A6A-8F43-BAC8-A52D4D5F8B9E}" type="presOf" srcId="{F6200617-CED9-3A46-B49D-AF8B7A54B99E}" destId="{31D32CA6-FFD0-1741-BB29-C27309F69978}" srcOrd="1" destOrd="0" presId="urn:microsoft.com/office/officeart/2005/8/layout/hierarchy2"/>
    <dgm:cxn modelId="{FF05DF81-913B-A34B-A747-75D960B12B43}" type="presOf" srcId="{DCDFAACB-2FD9-C945-B04D-A92E30F611E9}" destId="{83CCF37E-D512-564C-9A62-F58418391324}" srcOrd="1" destOrd="0" presId="urn:microsoft.com/office/officeart/2005/8/layout/hierarchy2"/>
    <dgm:cxn modelId="{40EC0F84-5052-F444-B3D8-90BD42EACE69}" type="presOf" srcId="{E14DC668-9D91-7344-99CD-0481C4BEF61B}" destId="{5C6B35D9-0398-2143-B0BF-1E58F0956F4F}" srcOrd="0" destOrd="0" presId="urn:microsoft.com/office/officeart/2005/8/layout/hierarchy2"/>
    <dgm:cxn modelId="{FAC13284-87B3-0B4D-8A8F-0D9B336A4A44}" type="presOf" srcId="{C1ECF0BC-16E8-A948-83BC-14D0772F58AE}" destId="{06E9BE22-E5CC-3E48-8992-7BB1EC5AF080}" srcOrd="0" destOrd="0" presId="urn:microsoft.com/office/officeart/2005/8/layout/hierarchy2"/>
    <dgm:cxn modelId="{3BFC2586-858A-9342-AC4A-56408E2AADF8}" type="presOf" srcId="{DCDFAACB-2FD9-C945-B04D-A92E30F611E9}" destId="{C00E3A78-703A-124A-9FBE-AEAB8E282141}" srcOrd="0" destOrd="0" presId="urn:microsoft.com/office/officeart/2005/8/layout/hierarchy2"/>
    <dgm:cxn modelId="{91077B87-D7AB-0142-A534-6E8186E38A77}" srcId="{1D4EE467-DEAE-1C49-A68C-02295F5474F2}" destId="{F768B24F-7705-DF45-915A-46F07D56BE53}" srcOrd="2" destOrd="0" parTransId="{D3C78965-A7BD-A14B-8FD9-90B43E95A7B2}" sibTransId="{DC4A7366-7301-E941-9953-9FDA04964F5F}"/>
    <dgm:cxn modelId="{8EA7F48C-340D-314C-8372-23C741D6C2D6}" type="presOf" srcId="{58B276FA-FE1C-2642-849E-FD6F32A6AF42}" destId="{62D92EE8-5C89-CF41-8519-ACD40309BA9F}" srcOrd="1" destOrd="0" presId="urn:microsoft.com/office/officeart/2005/8/layout/hierarchy2"/>
    <dgm:cxn modelId="{42F03D92-7FFB-6C49-A6CC-33814D787F68}" srcId="{1D4EE467-DEAE-1C49-A68C-02295F5474F2}" destId="{84449934-C075-1C45-B0D1-457EDF192DC0}" srcOrd="0" destOrd="0" parTransId="{7F4AC7CC-607B-4341-BCF0-4F99EA53193B}" sibTransId="{BFB4DB75-801A-B145-87BA-71EB45976ADF}"/>
    <dgm:cxn modelId="{756A9392-CB5D-0546-A62A-EF2038EA7D6C}" type="presOf" srcId="{1D4EE467-DEAE-1C49-A68C-02295F5474F2}" destId="{0A757011-6914-4641-A821-763743105525}" srcOrd="0" destOrd="0" presId="urn:microsoft.com/office/officeart/2005/8/layout/hierarchy2"/>
    <dgm:cxn modelId="{CBACE992-5756-2C43-99C3-CD19BB33EA97}" type="presOf" srcId="{82D7C1CC-605D-6548-AB59-B3F935CDAC4F}" destId="{2F022687-7AD4-3745-BD03-E362C7C14349}" srcOrd="0" destOrd="0" presId="urn:microsoft.com/office/officeart/2005/8/layout/hierarchy2"/>
    <dgm:cxn modelId="{6AAECE93-14EF-BD49-9A52-A4D4D3026C4B}" type="presOf" srcId="{D3C78965-A7BD-A14B-8FD9-90B43E95A7B2}" destId="{6A339F65-A776-D742-9592-75499DF87E73}" srcOrd="1" destOrd="0" presId="urn:microsoft.com/office/officeart/2005/8/layout/hierarchy2"/>
    <dgm:cxn modelId="{2F06C39B-6C79-4244-B361-5019CEBBEDE7}" srcId="{FECBE698-697B-AE4C-90BD-6B89B572BEE5}" destId="{86298B05-0209-F54D-B21D-1262BD186F7B}" srcOrd="0" destOrd="0" parTransId="{086A4FFB-E1E2-8C40-831C-3342DE672B50}" sibTransId="{2AD15457-C972-CB44-9B10-72EB8361BEE2}"/>
    <dgm:cxn modelId="{CFF0339D-E30B-B946-BDCD-72DB897044BC}" type="presOf" srcId="{3913A98C-BFC4-814B-8FE4-E9DF0A483A6B}" destId="{255A0E31-1EA7-1F4A-9F23-F62ADD1585AC}" srcOrd="0" destOrd="0" presId="urn:microsoft.com/office/officeart/2005/8/layout/hierarchy2"/>
    <dgm:cxn modelId="{2367F89F-10E1-8E41-91BE-E387A6675AB4}" srcId="{84449934-C075-1C45-B0D1-457EDF192DC0}" destId="{223441FD-BBC5-ED46-B4F2-F468045C1EED}" srcOrd="1" destOrd="0" parTransId="{58B276FA-FE1C-2642-849E-FD6F32A6AF42}" sibTransId="{68A5B37E-EAE9-494A-9FD4-A2980D28AEE2}"/>
    <dgm:cxn modelId="{D84263A0-C13F-B048-AFA8-423E9772E547}" type="presOf" srcId="{94AB67DC-D4ED-5940-BA7B-FA8262D7E432}" destId="{5BBD45EF-4B71-3C45-B54A-DED23A7177A7}" srcOrd="0" destOrd="0" presId="urn:microsoft.com/office/officeart/2005/8/layout/hierarchy2"/>
    <dgm:cxn modelId="{D0CF80A2-E351-8E4D-841C-2F2B3728F37F}" type="presOf" srcId="{2AA961B4-CF5A-AA4B-ABFD-B970A3563591}" destId="{4118286B-5D10-CD47-9088-BD58557B47FE}" srcOrd="0" destOrd="0" presId="urn:microsoft.com/office/officeart/2005/8/layout/hierarchy2"/>
    <dgm:cxn modelId="{C387F1A7-5C49-A548-A583-55709ECF81D2}" type="presOf" srcId="{A6B77F36-3D3D-1747-AA73-0AA3B901244E}" destId="{D2C5F37A-FAD2-3B4C-840F-AD84FBA24D38}" srcOrd="0" destOrd="0" presId="urn:microsoft.com/office/officeart/2005/8/layout/hierarchy2"/>
    <dgm:cxn modelId="{2DCF68B2-6441-D445-8E66-882406BF5140}" type="presOf" srcId="{86298B05-0209-F54D-B21D-1262BD186F7B}" destId="{9B9C24B1-5AFF-5F48-A6EE-2A38D0FA8805}" srcOrd="0" destOrd="0" presId="urn:microsoft.com/office/officeart/2005/8/layout/hierarchy2"/>
    <dgm:cxn modelId="{05EA4BB6-A350-2041-9F7D-6309F9C4C2F0}" type="presOf" srcId="{84449934-C075-1C45-B0D1-457EDF192DC0}" destId="{BC85D687-250A-5949-A257-4CE89C961CBE}" srcOrd="0" destOrd="0" presId="urn:microsoft.com/office/officeart/2005/8/layout/hierarchy2"/>
    <dgm:cxn modelId="{CAD4C0B6-6852-D743-9058-0E88C648E22A}" type="presOf" srcId="{58B276FA-FE1C-2642-849E-FD6F32A6AF42}" destId="{06799799-0F38-F142-879D-C6EF0ED5DEAB}" srcOrd="0" destOrd="0" presId="urn:microsoft.com/office/officeart/2005/8/layout/hierarchy2"/>
    <dgm:cxn modelId="{FF024ABD-D109-F646-BBEE-C1C25209D246}" type="presOf" srcId="{E62C739D-2EF2-7D4E-95CE-D86F580E91C7}" destId="{372C61F1-5227-5341-A2B0-E3AE5C3D5B36}" srcOrd="0" destOrd="0" presId="urn:microsoft.com/office/officeart/2005/8/layout/hierarchy2"/>
    <dgm:cxn modelId="{F84A6BC2-2884-6842-8574-722CBABABC80}" srcId="{1D4EE467-DEAE-1C49-A68C-02295F5474F2}" destId="{E14DC668-9D91-7344-99CD-0481C4BEF61B}" srcOrd="1" destOrd="0" parTransId="{13AA61D7-A71E-D044-926F-678AC2499EDB}" sibTransId="{68F55F9A-2499-724A-B7B1-86C670C10619}"/>
    <dgm:cxn modelId="{5B8184D0-4C78-4D41-A860-268F58363360}" srcId="{1D4EE467-DEAE-1C49-A68C-02295F5474F2}" destId="{DBF4B0D0-E7F1-8447-8649-C349BEF897B7}" srcOrd="3" destOrd="0" parTransId="{DCDFAACB-2FD9-C945-B04D-A92E30F611E9}" sibTransId="{0DE26E3F-2B91-9040-81A3-70BCF68E7977}"/>
    <dgm:cxn modelId="{88F5FAD4-AA82-604C-A37F-873867665BB5}" type="presOf" srcId="{F768B24F-7705-DF45-915A-46F07D56BE53}" destId="{99A646EF-6039-7947-AE06-D24145073D7B}" srcOrd="0" destOrd="0" presId="urn:microsoft.com/office/officeart/2005/8/layout/hierarchy2"/>
    <dgm:cxn modelId="{0F711DDB-C3A6-E342-86F4-472697A6A041}" type="presOf" srcId="{B6C5B544-7688-634A-A80E-7091DAD5D138}" destId="{88CD3195-F660-7D4A-80A5-39BB6DE436E1}" srcOrd="1" destOrd="0" presId="urn:microsoft.com/office/officeart/2005/8/layout/hierarchy2"/>
    <dgm:cxn modelId="{1CD75BDB-BC89-A343-B554-44533C282CA1}" type="presOf" srcId="{845C7F75-F1FE-C846-B408-B07A3C8CE23A}" destId="{C3E4C31C-751E-0344-A246-A7E5007D6979}" srcOrd="0" destOrd="0" presId="urn:microsoft.com/office/officeart/2005/8/layout/hierarchy2"/>
    <dgm:cxn modelId="{AC3467E1-FCE9-A843-A5BE-55D0E449E50B}" type="presOf" srcId="{7F4AC7CC-607B-4341-BCF0-4F99EA53193B}" destId="{BFD09569-E47C-FC42-8284-9407006CCB5D}" srcOrd="0" destOrd="0" presId="urn:microsoft.com/office/officeart/2005/8/layout/hierarchy2"/>
    <dgm:cxn modelId="{AD1383E9-FFDE-5E47-8040-DF544FBF1D50}" type="presOf" srcId="{7E98F796-04BF-1846-B509-9353E56F41EB}" destId="{31CE1F89-D772-9543-A5CC-7E1AAB2A0956}" srcOrd="0" destOrd="0" presId="urn:microsoft.com/office/officeart/2005/8/layout/hierarchy2"/>
    <dgm:cxn modelId="{8DC106EB-D377-844D-BB74-879BA2E7A1DC}" srcId="{E14DC668-9D91-7344-99CD-0481C4BEF61B}" destId="{0B86FF51-1082-5449-AA6C-4094AAA1E496}" srcOrd="1" destOrd="0" parTransId="{944BB3E3-4AA3-8C41-B534-380D656F1F3C}" sibTransId="{231993A8-7A8C-C843-9426-87638ABF233A}"/>
    <dgm:cxn modelId="{299C5FF1-6779-8840-B020-FBAAA53EED2E}" type="presOf" srcId="{CF2184F5-70C3-684E-AFE1-952A8A114ABE}" destId="{9A437F7A-9D05-8049-AB45-7BC4C5307156}" srcOrd="1" destOrd="0" presId="urn:microsoft.com/office/officeart/2005/8/layout/hierarchy2"/>
    <dgm:cxn modelId="{CFF21AF8-F770-3343-B07A-029DB3D18568}" type="presOf" srcId="{B6C5B544-7688-634A-A80E-7091DAD5D138}" destId="{192235FB-3D5C-5F41-9CF3-E78D28FE8C19}" srcOrd="0" destOrd="0" presId="urn:microsoft.com/office/officeart/2005/8/layout/hierarchy2"/>
    <dgm:cxn modelId="{986F1F64-EEB1-014A-B6BC-8BCB505D359C}" type="presParOf" srcId="{C3E4C31C-751E-0344-A246-A7E5007D6979}" destId="{0152F3C0-5495-3849-975A-F703A84752AD}" srcOrd="0" destOrd="0" presId="urn:microsoft.com/office/officeart/2005/8/layout/hierarchy2"/>
    <dgm:cxn modelId="{54D381A3-C3B3-9548-8C74-DC8FAB5D10FF}" type="presParOf" srcId="{0152F3C0-5495-3849-975A-F703A84752AD}" destId="{0A757011-6914-4641-A821-763743105525}" srcOrd="0" destOrd="0" presId="urn:microsoft.com/office/officeart/2005/8/layout/hierarchy2"/>
    <dgm:cxn modelId="{F4181F09-C08F-C14E-AAD5-FBB9C2230F61}" type="presParOf" srcId="{0152F3C0-5495-3849-975A-F703A84752AD}" destId="{F1729E93-C4B1-A948-89ED-56DD71F8C697}" srcOrd="1" destOrd="0" presId="urn:microsoft.com/office/officeart/2005/8/layout/hierarchy2"/>
    <dgm:cxn modelId="{2C80F8EF-D7EA-F84C-A65C-CBC4C400E2D8}" type="presParOf" srcId="{F1729E93-C4B1-A948-89ED-56DD71F8C697}" destId="{BFD09569-E47C-FC42-8284-9407006CCB5D}" srcOrd="0" destOrd="0" presId="urn:microsoft.com/office/officeart/2005/8/layout/hierarchy2"/>
    <dgm:cxn modelId="{E94A015C-E06A-0E48-8AC1-A15F25CEACF4}" type="presParOf" srcId="{BFD09569-E47C-FC42-8284-9407006CCB5D}" destId="{B6033058-9FF9-8F40-9BA5-0B2B5D1100F0}" srcOrd="0" destOrd="0" presId="urn:microsoft.com/office/officeart/2005/8/layout/hierarchy2"/>
    <dgm:cxn modelId="{321D9F18-E15A-5C48-AEA0-2B9D8577F4D3}" type="presParOf" srcId="{F1729E93-C4B1-A948-89ED-56DD71F8C697}" destId="{36719642-36AB-EF49-8BE3-AE1B15D842B3}" srcOrd="1" destOrd="0" presId="urn:microsoft.com/office/officeart/2005/8/layout/hierarchy2"/>
    <dgm:cxn modelId="{F16F45D7-A754-4140-A29C-2B4572C7EB48}" type="presParOf" srcId="{36719642-36AB-EF49-8BE3-AE1B15D842B3}" destId="{BC85D687-250A-5949-A257-4CE89C961CBE}" srcOrd="0" destOrd="0" presId="urn:microsoft.com/office/officeart/2005/8/layout/hierarchy2"/>
    <dgm:cxn modelId="{78276D93-5906-3549-B950-24A2A3F6B457}" type="presParOf" srcId="{36719642-36AB-EF49-8BE3-AE1B15D842B3}" destId="{B8562EEA-AB9C-DD4F-9858-35CE2FCDCBB2}" srcOrd="1" destOrd="0" presId="urn:microsoft.com/office/officeart/2005/8/layout/hierarchy2"/>
    <dgm:cxn modelId="{AE70B304-1B4E-C44A-BEEC-BFCAD55A5A69}" type="presParOf" srcId="{B8562EEA-AB9C-DD4F-9858-35CE2FCDCBB2}" destId="{D2C5F37A-FAD2-3B4C-840F-AD84FBA24D38}" srcOrd="0" destOrd="0" presId="urn:microsoft.com/office/officeart/2005/8/layout/hierarchy2"/>
    <dgm:cxn modelId="{A9D656E0-640D-324E-B710-B844A6084F68}" type="presParOf" srcId="{D2C5F37A-FAD2-3B4C-840F-AD84FBA24D38}" destId="{2F95036F-DD09-AA42-A702-FA98F1A1AA5B}" srcOrd="0" destOrd="0" presId="urn:microsoft.com/office/officeart/2005/8/layout/hierarchy2"/>
    <dgm:cxn modelId="{05EBFB6D-3B1A-BA47-A7A8-B7BC399BDDE1}" type="presParOf" srcId="{B8562EEA-AB9C-DD4F-9858-35CE2FCDCBB2}" destId="{F1ABB2CE-AC31-2E46-B3B9-D43EC620128E}" srcOrd="1" destOrd="0" presId="urn:microsoft.com/office/officeart/2005/8/layout/hierarchy2"/>
    <dgm:cxn modelId="{BBB2CE92-8E2B-DD4B-BC77-FCDF5116374D}" type="presParOf" srcId="{F1ABB2CE-AC31-2E46-B3B9-D43EC620128E}" destId="{06E9BE22-E5CC-3E48-8992-7BB1EC5AF080}" srcOrd="0" destOrd="0" presId="urn:microsoft.com/office/officeart/2005/8/layout/hierarchy2"/>
    <dgm:cxn modelId="{3FB62A5D-F122-5E48-AE18-95EE69422774}" type="presParOf" srcId="{F1ABB2CE-AC31-2E46-B3B9-D43EC620128E}" destId="{A06A0EFD-2A88-2D45-AB57-E730B7C622D3}" srcOrd="1" destOrd="0" presId="urn:microsoft.com/office/officeart/2005/8/layout/hierarchy2"/>
    <dgm:cxn modelId="{F9FA5941-DEA7-7947-8C13-2F04AFC57044}" type="presParOf" srcId="{B8562EEA-AB9C-DD4F-9858-35CE2FCDCBB2}" destId="{06799799-0F38-F142-879D-C6EF0ED5DEAB}" srcOrd="2" destOrd="0" presId="urn:microsoft.com/office/officeart/2005/8/layout/hierarchy2"/>
    <dgm:cxn modelId="{E8BCB96F-D055-9648-8210-3E610378032C}" type="presParOf" srcId="{06799799-0F38-F142-879D-C6EF0ED5DEAB}" destId="{62D92EE8-5C89-CF41-8519-ACD40309BA9F}" srcOrd="0" destOrd="0" presId="urn:microsoft.com/office/officeart/2005/8/layout/hierarchy2"/>
    <dgm:cxn modelId="{3C7D3ED5-F007-004B-AA1D-AB5FFD96885C}" type="presParOf" srcId="{B8562EEA-AB9C-DD4F-9858-35CE2FCDCBB2}" destId="{866EC18D-E69D-334F-8A34-C9A9BBD6A751}" srcOrd="3" destOrd="0" presId="urn:microsoft.com/office/officeart/2005/8/layout/hierarchy2"/>
    <dgm:cxn modelId="{B0A5F6BA-9329-E341-AF71-62029749EE8F}" type="presParOf" srcId="{866EC18D-E69D-334F-8A34-C9A9BBD6A751}" destId="{7FE25B23-E3DF-A74C-8FF7-6093EF060143}" srcOrd="0" destOrd="0" presId="urn:microsoft.com/office/officeart/2005/8/layout/hierarchy2"/>
    <dgm:cxn modelId="{422F1756-FE57-9442-99FA-9CCEBC6DFEB3}" type="presParOf" srcId="{866EC18D-E69D-334F-8A34-C9A9BBD6A751}" destId="{97965290-3C1A-AC47-8EDA-B5A175526C65}" srcOrd="1" destOrd="0" presId="urn:microsoft.com/office/officeart/2005/8/layout/hierarchy2"/>
    <dgm:cxn modelId="{DAB0FFB3-05E4-2F4E-9AF0-B9660A2387D2}" type="presParOf" srcId="{97965290-3C1A-AC47-8EDA-B5A175526C65}" destId="{2F022687-7AD4-3745-BD03-E362C7C14349}" srcOrd="0" destOrd="0" presId="urn:microsoft.com/office/officeart/2005/8/layout/hierarchy2"/>
    <dgm:cxn modelId="{E52B0E2D-4E42-154E-9AF2-BEEF90F25074}" type="presParOf" srcId="{2F022687-7AD4-3745-BD03-E362C7C14349}" destId="{9D2DAE60-80F6-9545-9BC4-1E02526B448D}" srcOrd="0" destOrd="0" presId="urn:microsoft.com/office/officeart/2005/8/layout/hierarchy2"/>
    <dgm:cxn modelId="{994661FB-0D87-E247-BCA8-96498B0805E7}" type="presParOf" srcId="{97965290-3C1A-AC47-8EDA-B5A175526C65}" destId="{19EB348F-D94D-474F-A424-535A712815AF}" srcOrd="1" destOrd="0" presId="urn:microsoft.com/office/officeart/2005/8/layout/hierarchy2"/>
    <dgm:cxn modelId="{8819953B-2457-EE49-B0D0-5B56CA636DE4}" type="presParOf" srcId="{19EB348F-D94D-474F-A424-535A712815AF}" destId="{5BBD45EF-4B71-3C45-B54A-DED23A7177A7}" srcOrd="0" destOrd="0" presId="urn:microsoft.com/office/officeart/2005/8/layout/hierarchy2"/>
    <dgm:cxn modelId="{CFB28807-5128-5A47-941C-EF09218D92ED}" type="presParOf" srcId="{19EB348F-D94D-474F-A424-535A712815AF}" destId="{0AB33DF9-2807-5849-95BE-7EB6A501D10F}" srcOrd="1" destOrd="0" presId="urn:microsoft.com/office/officeart/2005/8/layout/hierarchy2"/>
    <dgm:cxn modelId="{34D6BE79-7358-9C43-AA62-57F37C1FC51A}" type="presParOf" srcId="{97965290-3C1A-AC47-8EDA-B5A175526C65}" destId="{192235FB-3D5C-5F41-9CF3-E78D28FE8C19}" srcOrd="2" destOrd="0" presId="urn:microsoft.com/office/officeart/2005/8/layout/hierarchy2"/>
    <dgm:cxn modelId="{41DED033-9098-3D47-B4F3-D5CC1F003A0C}" type="presParOf" srcId="{192235FB-3D5C-5F41-9CF3-E78D28FE8C19}" destId="{88CD3195-F660-7D4A-80A5-39BB6DE436E1}" srcOrd="0" destOrd="0" presId="urn:microsoft.com/office/officeart/2005/8/layout/hierarchy2"/>
    <dgm:cxn modelId="{F32FF76C-572C-DD46-9E7D-76317640CC56}" type="presParOf" srcId="{97965290-3C1A-AC47-8EDA-B5A175526C65}" destId="{C11FB098-83A1-8F45-A099-26BD17AE299D}" srcOrd="3" destOrd="0" presId="urn:microsoft.com/office/officeart/2005/8/layout/hierarchy2"/>
    <dgm:cxn modelId="{CB3DB8F0-377E-2143-AA29-64D759677A54}" type="presParOf" srcId="{C11FB098-83A1-8F45-A099-26BD17AE299D}" destId="{4118286B-5D10-CD47-9088-BD58557B47FE}" srcOrd="0" destOrd="0" presId="urn:microsoft.com/office/officeart/2005/8/layout/hierarchy2"/>
    <dgm:cxn modelId="{9E4EC1AD-DCDB-F340-84B9-921DDB9F4096}" type="presParOf" srcId="{C11FB098-83A1-8F45-A099-26BD17AE299D}" destId="{349C2924-6EE4-F944-8E50-7DA3D6B1FCA4}" srcOrd="1" destOrd="0" presId="urn:microsoft.com/office/officeart/2005/8/layout/hierarchy2"/>
    <dgm:cxn modelId="{D55F93D3-C09B-4443-91DD-7123F9AA8FA3}" type="presParOf" srcId="{F1729E93-C4B1-A948-89ED-56DD71F8C697}" destId="{484B0CBB-2F74-374E-93C4-FA13CAA6C7A7}" srcOrd="2" destOrd="0" presId="urn:microsoft.com/office/officeart/2005/8/layout/hierarchy2"/>
    <dgm:cxn modelId="{4FF20975-321C-514A-BCC4-9BB28C376B52}" type="presParOf" srcId="{484B0CBB-2F74-374E-93C4-FA13CAA6C7A7}" destId="{DFFC5043-9105-F143-B869-C5B558A1E954}" srcOrd="0" destOrd="0" presId="urn:microsoft.com/office/officeart/2005/8/layout/hierarchy2"/>
    <dgm:cxn modelId="{1D8400F7-7FB2-B240-A716-51B29B048FA6}" type="presParOf" srcId="{F1729E93-C4B1-A948-89ED-56DD71F8C697}" destId="{F419AE57-1F5C-A443-959E-8A5E837BC615}" srcOrd="3" destOrd="0" presId="urn:microsoft.com/office/officeart/2005/8/layout/hierarchy2"/>
    <dgm:cxn modelId="{9E22EB35-6395-D640-9CAF-C1B8574127CE}" type="presParOf" srcId="{F419AE57-1F5C-A443-959E-8A5E837BC615}" destId="{5C6B35D9-0398-2143-B0BF-1E58F0956F4F}" srcOrd="0" destOrd="0" presId="urn:microsoft.com/office/officeart/2005/8/layout/hierarchy2"/>
    <dgm:cxn modelId="{8CB8CBE5-BE88-5C45-910E-F3F5CA6CF4BB}" type="presParOf" srcId="{F419AE57-1F5C-A443-959E-8A5E837BC615}" destId="{210EE7EF-D0CD-E64E-9255-334089727BD7}" srcOrd="1" destOrd="0" presId="urn:microsoft.com/office/officeart/2005/8/layout/hierarchy2"/>
    <dgm:cxn modelId="{3E857683-39A7-D145-AE51-8C13B77F9CA5}" type="presParOf" srcId="{210EE7EF-D0CD-E64E-9255-334089727BD7}" destId="{372C61F1-5227-5341-A2B0-E3AE5C3D5B36}" srcOrd="0" destOrd="0" presId="urn:microsoft.com/office/officeart/2005/8/layout/hierarchy2"/>
    <dgm:cxn modelId="{EAF82AA7-04D5-3848-9CAF-1A813FF1D708}" type="presParOf" srcId="{372C61F1-5227-5341-A2B0-E3AE5C3D5B36}" destId="{199B7EAB-0A89-6540-A225-D20180D18F2B}" srcOrd="0" destOrd="0" presId="urn:microsoft.com/office/officeart/2005/8/layout/hierarchy2"/>
    <dgm:cxn modelId="{FC79602B-D7B3-F846-BDD6-A8C021C84635}" type="presParOf" srcId="{210EE7EF-D0CD-E64E-9255-334089727BD7}" destId="{DB4A4CA9-7D54-7940-9D50-C61563E993CC}" srcOrd="1" destOrd="0" presId="urn:microsoft.com/office/officeart/2005/8/layout/hierarchy2"/>
    <dgm:cxn modelId="{76B1F425-5748-AA40-89B1-CE4CE3C1A95C}" type="presParOf" srcId="{DB4A4CA9-7D54-7940-9D50-C61563E993CC}" destId="{BD9B701E-0BEB-6241-BDF9-F46B147852DA}" srcOrd="0" destOrd="0" presId="urn:microsoft.com/office/officeart/2005/8/layout/hierarchy2"/>
    <dgm:cxn modelId="{8A07590B-0A7A-2A4F-B19D-0E047B3DCEA8}" type="presParOf" srcId="{DB4A4CA9-7D54-7940-9D50-C61563E993CC}" destId="{07DFBC17-DDAD-4746-AD79-F39EC88EDFDB}" srcOrd="1" destOrd="0" presId="urn:microsoft.com/office/officeart/2005/8/layout/hierarchy2"/>
    <dgm:cxn modelId="{0AC06408-44DB-6D42-B355-2EA554103293}" type="presParOf" srcId="{07DFBC17-DDAD-4746-AD79-F39EC88EDFDB}" destId="{7334B60D-5086-1446-8B25-AEF53283AC52}" srcOrd="0" destOrd="0" presId="urn:microsoft.com/office/officeart/2005/8/layout/hierarchy2"/>
    <dgm:cxn modelId="{B0F54C64-5C31-A24D-B8EC-CDB2DB48A602}" type="presParOf" srcId="{7334B60D-5086-1446-8B25-AEF53283AC52}" destId="{11A1C9F9-8E14-5348-A7A3-8FA1DA506D72}" srcOrd="0" destOrd="0" presId="urn:microsoft.com/office/officeart/2005/8/layout/hierarchy2"/>
    <dgm:cxn modelId="{7EC3B817-DE6E-704A-92DB-20C8B4059092}" type="presParOf" srcId="{07DFBC17-DDAD-4746-AD79-F39EC88EDFDB}" destId="{EABBB1C1-38B1-AA42-8448-45F35E3D07B3}" srcOrd="1" destOrd="0" presId="urn:microsoft.com/office/officeart/2005/8/layout/hierarchy2"/>
    <dgm:cxn modelId="{E396074B-ED76-774C-9702-1AA44809DAEE}" type="presParOf" srcId="{EABBB1C1-38B1-AA42-8448-45F35E3D07B3}" destId="{9B9C24B1-5AFF-5F48-A6EE-2A38D0FA8805}" srcOrd="0" destOrd="0" presId="urn:microsoft.com/office/officeart/2005/8/layout/hierarchy2"/>
    <dgm:cxn modelId="{ED504C7D-BBA3-ED4F-B4C8-6DED23E6831F}" type="presParOf" srcId="{EABBB1C1-38B1-AA42-8448-45F35E3D07B3}" destId="{ADE6FFD2-5985-9F46-889C-212A2960FE4D}" srcOrd="1" destOrd="0" presId="urn:microsoft.com/office/officeart/2005/8/layout/hierarchy2"/>
    <dgm:cxn modelId="{0E9EC850-47B0-9D4E-B71F-C2C46FBE10FD}" type="presParOf" srcId="{07DFBC17-DDAD-4746-AD79-F39EC88EDFDB}" destId="{B6C72CA7-DC82-C148-BB66-C1BE97CA48FA}" srcOrd="2" destOrd="0" presId="urn:microsoft.com/office/officeart/2005/8/layout/hierarchy2"/>
    <dgm:cxn modelId="{FAFA2CD7-815E-FB49-98E7-72ECB8B2AB98}" type="presParOf" srcId="{B6C72CA7-DC82-C148-BB66-C1BE97CA48FA}" destId="{31D32CA6-FFD0-1741-BB29-C27309F69978}" srcOrd="0" destOrd="0" presId="urn:microsoft.com/office/officeart/2005/8/layout/hierarchy2"/>
    <dgm:cxn modelId="{490F9D65-F744-6E43-8747-0FA39B484EE7}" type="presParOf" srcId="{07DFBC17-DDAD-4746-AD79-F39EC88EDFDB}" destId="{3EDC4BC6-1D72-C544-89DC-91069E9C6C8D}" srcOrd="3" destOrd="0" presId="urn:microsoft.com/office/officeart/2005/8/layout/hierarchy2"/>
    <dgm:cxn modelId="{A94BA819-90E8-2B4F-BAAC-4DD65191964A}" type="presParOf" srcId="{3EDC4BC6-1D72-C544-89DC-91069E9C6C8D}" destId="{31CE1F89-D772-9543-A5CC-7E1AAB2A0956}" srcOrd="0" destOrd="0" presId="urn:microsoft.com/office/officeart/2005/8/layout/hierarchy2"/>
    <dgm:cxn modelId="{A881F720-D22A-6045-8316-B1D188BD0EBC}" type="presParOf" srcId="{3EDC4BC6-1D72-C544-89DC-91069E9C6C8D}" destId="{8974790F-AC4D-584E-B8A5-77071CCA395F}" srcOrd="1" destOrd="0" presId="urn:microsoft.com/office/officeart/2005/8/layout/hierarchy2"/>
    <dgm:cxn modelId="{C1F34B96-EC4A-054F-B266-424A98E77CCC}" type="presParOf" srcId="{210EE7EF-D0CD-E64E-9255-334089727BD7}" destId="{86D142B6-12E8-9447-B43C-7F87158550CD}" srcOrd="2" destOrd="0" presId="urn:microsoft.com/office/officeart/2005/8/layout/hierarchy2"/>
    <dgm:cxn modelId="{DD2A4082-BFFA-A946-863A-C1BB8EC61935}" type="presParOf" srcId="{86D142B6-12E8-9447-B43C-7F87158550CD}" destId="{B0D94FB1-1252-0046-9B40-55BC26BDC2DD}" srcOrd="0" destOrd="0" presId="urn:microsoft.com/office/officeart/2005/8/layout/hierarchy2"/>
    <dgm:cxn modelId="{69316F02-1300-6443-91B1-729889CACF44}" type="presParOf" srcId="{210EE7EF-D0CD-E64E-9255-334089727BD7}" destId="{6BD9E38F-C123-2942-9D41-427FCF0A0B12}" srcOrd="3" destOrd="0" presId="urn:microsoft.com/office/officeart/2005/8/layout/hierarchy2"/>
    <dgm:cxn modelId="{EC8C403D-EAB0-BB41-B415-E7B77717E7CF}" type="presParOf" srcId="{6BD9E38F-C123-2942-9D41-427FCF0A0B12}" destId="{B0C0681F-7703-F041-A441-509350E09F32}" srcOrd="0" destOrd="0" presId="urn:microsoft.com/office/officeart/2005/8/layout/hierarchy2"/>
    <dgm:cxn modelId="{C29880B9-6AEE-7F46-A087-966A35F76147}" type="presParOf" srcId="{6BD9E38F-C123-2942-9D41-427FCF0A0B12}" destId="{B3488407-59D1-3B47-AB29-F6A9ED787195}" srcOrd="1" destOrd="0" presId="urn:microsoft.com/office/officeart/2005/8/layout/hierarchy2"/>
    <dgm:cxn modelId="{7BAAAD85-554B-C548-BA9F-502F3381C65A}" type="presParOf" srcId="{F1729E93-C4B1-A948-89ED-56DD71F8C697}" destId="{715283C1-13DC-5049-AB42-1E464781DBBE}" srcOrd="4" destOrd="0" presId="urn:microsoft.com/office/officeart/2005/8/layout/hierarchy2"/>
    <dgm:cxn modelId="{2CF1E2AF-B9A5-8944-9870-79F2092C4D74}" type="presParOf" srcId="{715283C1-13DC-5049-AB42-1E464781DBBE}" destId="{6A339F65-A776-D742-9592-75499DF87E73}" srcOrd="0" destOrd="0" presId="urn:microsoft.com/office/officeart/2005/8/layout/hierarchy2"/>
    <dgm:cxn modelId="{9309368E-3B39-4144-9960-1C3A6D281225}" type="presParOf" srcId="{F1729E93-C4B1-A948-89ED-56DD71F8C697}" destId="{4DDD3F3A-280B-E54E-933A-BCED0ABB2807}" srcOrd="5" destOrd="0" presId="urn:microsoft.com/office/officeart/2005/8/layout/hierarchy2"/>
    <dgm:cxn modelId="{8E1EC560-9A0E-1B47-BE9B-9D61C386C4A9}" type="presParOf" srcId="{4DDD3F3A-280B-E54E-933A-BCED0ABB2807}" destId="{99A646EF-6039-7947-AE06-D24145073D7B}" srcOrd="0" destOrd="0" presId="urn:microsoft.com/office/officeart/2005/8/layout/hierarchy2"/>
    <dgm:cxn modelId="{DECFB2BF-8DF5-AB41-BDE2-E44EE7520D2D}" type="presParOf" srcId="{4DDD3F3A-280B-E54E-933A-BCED0ABB2807}" destId="{B282057F-6B69-0D47-939C-C4232EEC0D59}" srcOrd="1" destOrd="0" presId="urn:microsoft.com/office/officeart/2005/8/layout/hierarchy2"/>
    <dgm:cxn modelId="{74A10109-9FD1-F846-8A68-911DDF3132CE}" type="presParOf" srcId="{B282057F-6B69-0D47-939C-C4232EEC0D59}" destId="{FC6221D1-DF87-3840-838A-1A48C9661405}" srcOrd="0" destOrd="0" presId="urn:microsoft.com/office/officeart/2005/8/layout/hierarchy2"/>
    <dgm:cxn modelId="{E87C1354-DA0B-1E4D-80EE-911E71979265}" type="presParOf" srcId="{FC6221D1-DF87-3840-838A-1A48C9661405}" destId="{9A437F7A-9D05-8049-AB45-7BC4C5307156}" srcOrd="0" destOrd="0" presId="urn:microsoft.com/office/officeart/2005/8/layout/hierarchy2"/>
    <dgm:cxn modelId="{0FCF2D02-0880-8F47-8E4F-58DC1F351248}" type="presParOf" srcId="{B282057F-6B69-0D47-939C-C4232EEC0D59}" destId="{DA024C38-93B3-1742-A786-5B584B1D1F74}" srcOrd="1" destOrd="0" presId="urn:microsoft.com/office/officeart/2005/8/layout/hierarchy2"/>
    <dgm:cxn modelId="{D3CBE8FC-1955-D941-B39E-A48F70057E0C}" type="presParOf" srcId="{DA024C38-93B3-1742-A786-5B584B1D1F74}" destId="{255A0E31-1EA7-1F4A-9F23-F62ADD1585AC}" srcOrd="0" destOrd="0" presId="urn:microsoft.com/office/officeart/2005/8/layout/hierarchy2"/>
    <dgm:cxn modelId="{81CA3299-80DF-2F48-AA46-A060C28646D4}" type="presParOf" srcId="{DA024C38-93B3-1742-A786-5B584B1D1F74}" destId="{288DF9DE-2A60-6043-AF36-6ACE718D58DA}" srcOrd="1" destOrd="0" presId="urn:microsoft.com/office/officeart/2005/8/layout/hierarchy2"/>
    <dgm:cxn modelId="{474CC83C-0FBB-0B4A-8978-C1CF9A3382AD}" type="presParOf" srcId="{B282057F-6B69-0D47-939C-C4232EEC0D59}" destId="{6CAD4F7A-25AC-0C4C-A636-F5920373C0BE}" srcOrd="2" destOrd="0" presId="urn:microsoft.com/office/officeart/2005/8/layout/hierarchy2"/>
    <dgm:cxn modelId="{0E77CF13-2CA6-554F-A429-B93B4F2AAE87}" type="presParOf" srcId="{6CAD4F7A-25AC-0C4C-A636-F5920373C0BE}" destId="{2CC78A4A-DFBE-184E-8B91-28540AE9EE58}" srcOrd="0" destOrd="0" presId="urn:microsoft.com/office/officeart/2005/8/layout/hierarchy2"/>
    <dgm:cxn modelId="{5FF1A282-FD92-DF44-AF92-ABB7CC88E0B0}" type="presParOf" srcId="{B282057F-6B69-0D47-939C-C4232EEC0D59}" destId="{BE15AA9D-4C96-C94B-8DAE-BCBE7DC9BF1E}" srcOrd="3" destOrd="0" presId="urn:microsoft.com/office/officeart/2005/8/layout/hierarchy2"/>
    <dgm:cxn modelId="{E26F7E56-EA53-0646-ABB0-4968F981CD19}" type="presParOf" srcId="{BE15AA9D-4C96-C94B-8DAE-BCBE7DC9BF1E}" destId="{9812DF29-401E-5841-9CD3-B41BC8F7438B}" srcOrd="0" destOrd="0" presId="urn:microsoft.com/office/officeart/2005/8/layout/hierarchy2"/>
    <dgm:cxn modelId="{05CD05F1-7807-DD47-A324-E45884CF9A28}" type="presParOf" srcId="{BE15AA9D-4C96-C94B-8DAE-BCBE7DC9BF1E}" destId="{A20C19C4-A593-2B40-A25C-CABA1BCFDA01}" srcOrd="1" destOrd="0" presId="urn:microsoft.com/office/officeart/2005/8/layout/hierarchy2"/>
    <dgm:cxn modelId="{9C5F573A-83A0-8E43-868F-E78B55F2E9A7}" type="presParOf" srcId="{F1729E93-C4B1-A948-89ED-56DD71F8C697}" destId="{C00E3A78-703A-124A-9FBE-AEAB8E282141}" srcOrd="6" destOrd="0" presId="urn:microsoft.com/office/officeart/2005/8/layout/hierarchy2"/>
    <dgm:cxn modelId="{6130585E-E584-6844-A975-1584AC1B67AC}" type="presParOf" srcId="{C00E3A78-703A-124A-9FBE-AEAB8E282141}" destId="{83CCF37E-D512-564C-9A62-F58418391324}" srcOrd="0" destOrd="0" presId="urn:microsoft.com/office/officeart/2005/8/layout/hierarchy2"/>
    <dgm:cxn modelId="{C9FF505B-1878-1041-98C0-C7D2EE29E6E1}" type="presParOf" srcId="{F1729E93-C4B1-A948-89ED-56DD71F8C697}" destId="{B659DE9A-66E4-E445-8FA5-139EC4DD40B0}" srcOrd="7" destOrd="0" presId="urn:microsoft.com/office/officeart/2005/8/layout/hierarchy2"/>
    <dgm:cxn modelId="{2253B726-E090-E94C-BEDC-15EBBAF0FBE0}" type="presParOf" srcId="{B659DE9A-66E4-E445-8FA5-139EC4DD40B0}" destId="{C04E3E01-E1B9-2F4A-9EB1-24E61F4B3E27}" srcOrd="0" destOrd="0" presId="urn:microsoft.com/office/officeart/2005/8/layout/hierarchy2"/>
    <dgm:cxn modelId="{8F8A0696-8352-484A-92A5-7952BAA22E0D}" type="presParOf" srcId="{B659DE9A-66E4-E445-8FA5-139EC4DD40B0}" destId="{BBF51273-C05F-FE44-A9EB-AD6350C8EEBE}" srcOrd="1" destOrd="0" presId="urn:microsoft.com/office/officeart/2005/8/layout/hierarchy2"/>
  </dgm:cxnLst>
  <dgm:bg/>
  <dgm:whole/>
  <dgm:extLst>
    <a:ext uri="http://schemas.microsoft.com/office/drawing/2008/diagram">
      <dsp:dataModelExt xmlns:dsp="http://schemas.microsoft.com/office/drawing/2008/diagram" relId="rId5" minVer="http://schemas.openxmlformats.org/drawingml/2006/diagram"/>
    </a:ext>
  </dgm:extLst>
</dgm:dataModel>
</file>

<file path=xl/diagrams/drawing1.xml><?xml version="1.0" encoding="utf-8"?>
<dsp:drawing xmlns:dgm="http://schemas.openxmlformats.org/drawingml/2006/diagram" xmlns:dsp="http://schemas.microsoft.com/office/drawing/2008/diagram" xmlns:a="http://schemas.openxmlformats.org/drawingml/2006/main">
  <dsp:spTree>
    <dsp:nvGrpSpPr>
      <dsp:cNvPr id="0" name=""/>
      <dsp:cNvGrpSpPr/>
    </dsp:nvGrpSpPr>
    <dsp:grpSpPr/>
    <dsp:sp modelId="{0A757011-6914-4641-A821-763743105525}">
      <dsp:nvSpPr>
        <dsp:cNvPr id="0" name=""/>
        <dsp:cNvSpPr/>
      </dsp:nvSpPr>
      <dsp:spPr>
        <a:xfrm>
          <a:off x="1880831" y="2114234"/>
          <a:ext cx="1049856" cy="524928"/>
        </a:xfrm>
        <a:prstGeom prst="roundRect">
          <a:avLst>
            <a:gd name="adj" fmla="val 10000"/>
          </a:avLst>
        </a:prstGeom>
        <a:noFill/>
        <a:ln w="19050" cap="flat" cmpd="sng" algn="ctr">
          <a:solidFill>
            <a:scrgbClr r="0" g="0" b="0"/>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8255" tIns="8255" rIns="8255" bIns="8255" numCol="1" spcCol="1270" anchor="ctr" anchorCtr="0">
          <a:noAutofit/>
        </a:bodyPr>
        <a:lstStyle/>
        <a:p>
          <a:pPr marL="0" lvl="0" indent="0" algn="ctr" defTabSz="577850">
            <a:lnSpc>
              <a:spcPct val="90000"/>
            </a:lnSpc>
            <a:spcBef>
              <a:spcPct val="0"/>
            </a:spcBef>
            <a:spcAft>
              <a:spcPct val="35000"/>
            </a:spcAft>
            <a:buNone/>
          </a:pPr>
          <a:r>
            <a:rPr lang="en-US" sz="1300" kern="1200">
              <a:solidFill>
                <a:sysClr val="windowText" lastClr="000000"/>
              </a:solidFill>
            </a:rPr>
            <a:t>Coût à partager</a:t>
          </a:r>
        </a:p>
      </dsp:txBody>
      <dsp:txXfrm>
        <a:off x="1896206" y="2129609"/>
        <a:ext cx="1019106" cy="494178"/>
      </dsp:txXfrm>
    </dsp:sp>
    <dsp:sp modelId="{BFD09569-E47C-FC42-8284-9407006CCB5D}">
      <dsp:nvSpPr>
        <dsp:cNvPr id="0" name=""/>
        <dsp:cNvSpPr/>
      </dsp:nvSpPr>
      <dsp:spPr>
        <a:xfrm rot="16983315">
          <a:off x="2211132" y="1460585"/>
          <a:ext cx="1859053" cy="21225"/>
        </a:xfrm>
        <a:custGeom>
          <a:avLst/>
          <a:gdLst/>
          <a:ahLst/>
          <a:cxnLst/>
          <a:rect l="0" t="0" r="0" b="0"/>
          <a:pathLst>
            <a:path>
              <a:moveTo>
                <a:pt x="0" y="10612"/>
              </a:moveTo>
              <a:lnTo>
                <a:pt x="1859053" y="10612"/>
              </a:lnTo>
            </a:path>
          </a:pathLst>
        </a:custGeom>
        <a:noFill/>
        <a:ln w="12700" cap="flat" cmpd="sng" algn="ctr">
          <a:solidFill>
            <a:schemeClr val="accent1">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txBody>
        <a:bodyPr spcFirstLastPara="0" vert="horz" wrap="square" lIns="12700" tIns="0" rIns="12700" bIns="0" numCol="1" spcCol="1270" anchor="ctr" anchorCtr="0">
          <a:noAutofit/>
        </a:bodyPr>
        <a:lstStyle/>
        <a:p>
          <a:pPr marL="0" lvl="0" indent="0" algn="ctr" defTabSz="266700">
            <a:lnSpc>
              <a:spcPct val="90000"/>
            </a:lnSpc>
            <a:spcBef>
              <a:spcPct val="0"/>
            </a:spcBef>
            <a:spcAft>
              <a:spcPct val="35000"/>
            </a:spcAft>
            <a:buNone/>
          </a:pPr>
          <a:endParaRPr lang="en-US" sz="600" kern="1200"/>
        </a:p>
      </dsp:txBody>
      <dsp:txXfrm>
        <a:off x="3094182" y="1424721"/>
        <a:ext cx="92952" cy="92952"/>
      </dsp:txXfrm>
    </dsp:sp>
    <dsp:sp modelId="{BC85D687-250A-5949-A257-4CE89C961CBE}">
      <dsp:nvSpPr>
        <dsp:cNvPr id="0" name=""/>
        <dsp:cNvSpPr/>
      </dsp:nvSpPr>
      <dsp:spPr>
        <a:xfrm>
          <a:off x="3350630" y="303232"/>
          <a:ext cx="1049856" cy="524928"/>
        </a:xfrm>
        <a:prstGeom prst="roundRect">
          <a:avLst>
            <a:gd name="adj" fmla="val 10000"/>
          </a:avLst>
        </a:prstGeom>
        <a:solidFill>
          <a:srgbClr val="F4B182"/>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8255" tIns="8255" rIns="8255" bIns="8255" numCol="1" spcCol="1270" anchor="ctr" anchorCtr="0">
          <a:noAutofit/>
        </a:bodyPr>
        <a:lstStyle/>
        <a:p>
          <a:pPr marL="0" lvl="0" indent="0" algn="ctr" defTabSz="577850">
            <a:lnSpc>
              <a:spcPct val="90000"/>
            </a:lnSpc>
            <a:spcBef>
              <a:spcPct val="0"/>
            </a:spcBef>
            <a:spcAft>
              <a:spcPct val="35000"/>
            </a:spcAft>
            <a:buNone/>
          </a:pPr>
          <a:r>
            <a:rPr lang="en-US" sz="1300" kern="1200"/>
            <a:t>% surface Auto</a:t>
          </a:r>
        </a:p>
      </dsp:txBody>
      <dsp:txXfrm>
        <a:off x="3366005" y="318607"/>
        <a:ext cx="1019106" cy="494178"/>
      </dsp:txXfrm>
    </dsp:sp>
    <dsp:sp modelId="{D2C5F37A-FAD2-3B4C-840F-AD84FBA24D38}">
      <dsp:nvSpPr>
        <dsp:cNvPr id="0" name=""/>
        <dsp:cNvSpPr/>
      </dsp:nvSpPr>
      <dsp:spPr>
        <a:xfrm rot="19457599">
          <a:off x="4351877" y="404167"/>
          <a:ext cx="517160" cy="21225"/>
        </a:xfrm>
        <a:custGeom>
          <a:avLst/>
          <a:gdLst/>
          <a:ahLst/>
          <a:cxnLst/>
          <a:rect l="0" t="0" r="0" b="0"/>
          <a:pathLst>
            <a:path>
              <a:moveTo>
                <a:pt x="0" y="10612"/>
              </a:moveTo>
              <a:lnTo>
                <a:pt x="517160" y="10612"/>
              </a:lnTo>
            </a:path>
          </a:pathLst>
        </a:custGeom>
        <a:noFill/>
        <a:ln w="12700" cap="flat" cmpd="sng" algn="ctr">
          <a:solidFill>
            <a:schemeClr val="accent1">
              <a:shade val="8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txBody>
        <a:bodyPr spcFirstLastPara="0" vert="horz" wrap="square" lIns="12700" tIns="0" rIns="12700" bIns="0" numCol="1" spcCol="1270" anchor="ctr" anchorCtr="0">
          <a:noAutofit/>
        </a:bodyPr>
        <a:lstStyle/>
        <a:p>
          <a:pPr marL="0" lvl="0" indent="0" algn="ctr" defTabSz="222250">
            <a:lnSpc>
              <a:spcPct val="90000"/>
            </a:lnSpc>
            <a:spcBef>
              <a:spcPct val="0"/>
            </a:spcBef>
            <a:spcAft>
              <a:spcPct val="35000"/>
            </a:spcAft>
            <a:buNone/>
          </a:pPr>
          <a:endParaRPr lang="en-US" sz="500" kern="1200"/>
        </a:p>
      </dsp:txBody>
      <dsp:txXfrm>
        <a:off x="4597528" y="401851"/>
        <a:ext cx="25858" cy="25858"/>
      </dsp:txXfrm>
    </dsp:sp>
    <dsp:sp modelId="{06E9BE22-E5CC-3E48-8992-7BB1EC5AF080}">
      <dsp:nvSpPr>
        <dsp:cNvPr id="0" name=""/>
        <dsp:cNvSpPr/>
      </dsp:nvSpPr>
      <dsp:spPr>
        <a:xfrm>
          <a:off x="4820428" y="1399"/>
          <a:ext cx="1049856" cy="524928"/>
        </a:xfrm>
        <a:prstGeom prst="roundRect">
          <a:avLst>
            <a:gd name="adj" fmla="val 10000"/>
          </a:avLst>
        </a:prstGeom>
        <a:solidFill>
          <a:srgbClr val="F4B182"/>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8255" tIns="8255" rIns="8255" bIns="8255" numCol="1" spcCol="1270" anchor="ctr" anchorCtr="0">
          <a:noAutofit/>
        </a:bodyPr>
        <a:lstStyle/>
        <a:p>
          <a:pPr marL="0" lvl="0" indent="0" algn="ctr" defTabSz="577850">
            <a:lnSpc>
              <a:spcPct val="90000"/>
            </a:lnSpc>
            <a:spcBef>
              <a:spcPct val="0"/>
            </a:spcBef>
            <a:spcAft>
              <a:spcPct val="35000"/>
            </a:spcAft>
            <a:buNone/>
          </a:pPr>
          <a:r>
            <a:rPr lang="en-US" sz="1300" kern="1200"/>
            <a:t>% Camion</a:t>
          </a:r>
        </a:p>
      </dsp:txBody>
      <dsp:txXfrm>
        <a:off x="4835803" y="16774"/>
        <a:ext cx="1019106" cy="494178"/>
      </dsp:txXfrm>
    </dsp:sp>
    <dsp:sp modelId="{06799799-0F38-F142-879D-C6EF0ED5DEAB}">
      <dsp:nvSpPr>
        <dsp:cNvPr id="0" name=""/>
        <dsp:cNvSpPr/>
      </dsp:nvSpPr>
      <dsp:spPr>
        <a:xfrm rot="2142401">
          <a:off x="4351877" y="706000"/>
          <a:ext cx="517160" cy="21225"/>
        </a:xfrm>
        <a:custGeom>
          <a:avLst/>
          <a:gdLst/>
          <a:ahLst/>
          <a:cxnLst/>
          <a:rect l="0" t="0" r="0" b="0"/>
          <a:pathLst>
            <a:path>
              <a:moveTo>
                <a:pt x="0" y="10612"/>
              </a:moveTo>
              <a:lnTo>
                <a:pt x="517160" y="10612"/>
              </a:lnTo>
            </a:path>
          </a:pathLst>
        </a:custGeom>
        <a:noFill/>
        <a:ln w="12700" cap="flat" cmpd="sng" algn="ctr">
          <a:solidFill>
            <a:schemeClr val="accent1">
              <a:shade val="8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txBody>
        <a:bodyPr spcFirstLastPara="0" vert="horz" wrap="square" lIns="12700" tIns="0" rIns="12700" bIns="0" numCol="1" spcCol="1270" anchor="ctr" anchorCtr="0">
          <a:noAutofit/>
        </a:bodyPr>
        <a:lstStyle/>
        <a:p>
          <a:pPr marL="0" lvl="0" indent="0" algn="ctr" defTabSz="222250">
            <a:lnSpc>
              <a:spcPct val="90000"/>
            </a:lnSpc>
            <a:spcBef>
              <a:spcPct val="0"/>
            </a:spcBef>
            <a:spcAft>
              <a:spcPct val="35000"/>
            </a:spcAft>
            <a:buNone/>
          </a:pPr>
          <a:endParaRPr lang="en-US" sz="500" kern="1200"/>
        </a:p>
      </dsp:txBody>
      <dsp:txXfrm>
        <a:off x="4597528" y="703684"/>
        <a:ext cx="25858" cy="25858"/>
      </dsp:txXfrm>
    </dsp:sp>
    <dsp:sp modelId="{7FE25B23-E3DF-A74C-8FF7-6093EF060143}">
      <dsp:nvSpPr>
        <dsp:cNvPr id="0" name=""/>
        <dsp:cNvSpPr/>
      </dsp:nvSpPr>
      <dsp:spPr>
        <a:xfrm>
          <a:off x="4820428" y="605066"/>
          <a:ext cx="1049856" cy="524928"/>
        </a:xfrm>
        <a:prstGeom prst="roundRect">
          <a:avLst>
            <a:gd name="adj" fmla="val 10000"/>
          </a:avLst>
        </a:prstGeom>
        <a:solidFill>
          <a:srgbClr val="F4B182"/>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8255" tIns="8255" rIns="8255" bIns="8255" numCol="1" spcCol="1270" anchor="ctr" anchorCtr="0">
          <a:noAutofit/>
        </a:bodyPr>
        <a:lstStyle/>
        <a:p>
          <a:pPr marL="0" lvl="0" indent="0" algn="ctr" defTabSz="577850">
            <a:lnSpc>
              <a:spcPct val="90000"/>
            </a:lnSpc>
            <a:spcBef>
              <a:spcPct val="0"/>
            </a:spcBef>
            <a:spcAft>
              <a:spcPct val="35000"/>
            </a:spcAft>
            <a:buNone/>
          </a:pPr>
          <a:r>
            <a:rPr lang="en-US" sz="1300" kern="1200"/>
            <a:t>% Auto</a:t>
          </a:r>
        </a:p>
      </dsp:txBody>
      <dsp:txXfrm>
        <a:off x="4835803" y="620441"/>
        <a:ext cx="1019106" cy="494178"/>
      </dsp:txXfrm>
    </dsp:sp>
    <dsp:sp modelId="{2F022687-7AD4-3745-BD03-E362C7C14349}">
      <dsp:nvSpPr>
        <dsp:cNvPr id="0" name=""/>
        <dsp:cNvSpPr/>
      </dsp:nvSpPr>
      <dsp:spPr>
        <a:xfrm rot="19457599">
          <a:off x="5821675" y="706000"/>
          <a:ext cx="517160" cy="21225"/>
        </a:xfrm>
        <a:custGeom>
          <a:avLst/>
          <a:gdLst/>
          <a:ahLst/>
          <a:cxnLst/>
          <a:rect l="0" t="0" r="0" b="0"/>
          <a:pathLst>
            <a:path>
              <a:moveTo>
                <a:pt x="0" y="10612"/>
              </a:moveTo>
              <a:lnTo>
                <a:pt x="517160" y="10612"/>
              </a:lnTo>
            </a:path>
          </a:pathLst>
        </a:custGeom>
        <a:noFill/>
        <a:ln w="12700" cap="flat" cmpd="sng" algn="ctr">
          <a:solidFill>
            <a:schemeClr val="accent1">
              <a:shade val="8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txBody>
        <a:bodyPr spcFirstLastPara="0" vert="horz" wrap="square" lIns="12700" tIns="0" rIns="12700" bIns="0" numCol="1" spcCol="1270" anchor="ctr" anchorCtr="0">
          <a:noAutofit/>
        </a:bodyPr>
        <a:lstStyle/>
        <a:p>
          <a:pPr marL="0" lvl="0" indent="0" algn="ctr" defTabSz="222250">
            <a:lnSpc>
              <a:spcPct val="90000"/>
            </a:lnSpc>
            <a:spcBef>
              <a:spcPct val="0"/>
            </a:spcBef>
            <a:spcAft>
              <a:spcPct val="35000"/>
            </a:spcAft>
            <a:buNone/>
          </a:pPr>
          <a:endParaRPr lang="en-US" sz="500" kern="1200"/>
        </a:p>
      </dsp:txBody>
      <dsp:txXfrm>
        <a:off x="6067327" y="703684"/>
        <a:ext cx="25858" cy="25858"/>
      </dsp:txXfrm>
    </dsp:sp>
    <dsp:sp modelId="{5BBD45EF-4B71-3C45-B54A-DED23A7177A7}">
      <dsp:nvSpPr>
        <dsp:cNvPr id="0" name=""/>
        <dsp:cNvSpPr/>
      </dsp:nvSpPr>
      <dsp:spPr>
        <a:xfrm>
          <a:off x="6290227" y="303232"/>
          <a:ext cx="1049856" cy="524928"/>
        </a:xfrm>
        <a:prstGeom prst="roundRect">
          <a:avLst>
            <a:gd name="adj" fmla="val 10000"/>
          </a:avLst>
        </a:prstGeom>
        <a:solidFill>
          <a:srgbClr val="F4B182"/>
        </a:solidFill>
        <a:ln w="38100" cap="flat" cmpd="sng" algn="ctr">
          <a:solidFill>
            <a:schemeClr val="tx1"/>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8255" tIns="8255" rIns="8255" bIns="8255" numCol="1" spcCol="1270" anchor="ctr" anchorCtr="0">
          <a:noAutofit/>
        </a:bodyPr>
        <a:lstStyle/>
        <a:p>
          <a:pPr marL="0" lvl="0" indent="0" algn="ctr" defTabSz="577850">
            <a:lnSpc>
              <a:spcPct val="90000"/>
            </a:lnSpc>
            <a:spcBef>
              <a:spcPct val="0"/>
            </a:spcBef>
            <a:spcAft>
              <a:spcPct val="35000"/>
            </a:spcAft>
            <a:buNone/>
          </a:pPr>
          <a:r>
            <a:rPr lang="en-US" sz="1300" kern="1200"/>
            <a:t>% MTL seulement</a:t>
          </a:r>
        </a:p>
      </dsp:txBody>
      <dsp:txXfrm>
        <a:off x="6305602" y="318607"/>
        <a:ext cx="1019106" cy="494178"/>
      </dsp:txXfrm>
    </dsp:sp>
    <dsp:sp modelId="{192235FB-3D5C-5F41-9CF3-E78D28FE8C19}">
      <dsp:nvSpPr>
        <dsp:cNvPr id="0" name=""/>
        <dsp:cNvSpPr/>
      </dsp:nvSpPr>
      <dsp:spPr>
        <a:xfrm rot="2142401">
          <a:off x="5821675" y="1007834"/>
          <a:ext cx="517160" cy="21225"/>
        </a:xfrm>
        <a:custGeom>
          <a:avLst/>
          <a:gdLst/>
          <a:ahLst/>
          <a:cxnLst/>
          <a:rect l="0" t="0" r="0" b="0"/>
          <a:pathLst>
            <a:path>
              <a:moveTo>
                <a:pt x="0" y="10612"/>
              </a:moveTo>
              <a:lnTo>
                <a:pt x="517160" y="10612"/>
              </a:lnTo>
            </a:path>
          </a:pathLst>
        </a:custGeom>
        <a:noFill/>
        <a:ln w="12700" cap="flat" cmpd="sng" algn="ctr">
          <a:solidFill>
            <a:schemeClr val="accent1">
              <a:shade val="8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txBody>
        <a:bodyPr spcFirstLastPara="0" vert="horz" wrap="square" lIns="12700" tIns="0" rIns="12700" bIns="0" numCol="1" spcCol="1270" anchor="ctr" anchorCtr="0">
          <a:noAutofit/>
        </a:bodyPr>
        <a:lstStyle/>
        <a:p>
          <a:pPr marL="0" lvl="0" indent="0" algn="ctr" defTabSz="222250">
            <a:lnSpc>
              <a:spcPct val="90000"/>
            </a:lnSpc>
            <a:spcBef>
              <a:spcPct val="0"/>
            </a:spcBef>
            <a:spcAft>
              <a:spcPct val="35000"/>
            </a:spcAft>
            <a:buNone/>
          </a:pPr>
          <a:endParaRPr lang="en-US" sz="500" kern="1200"/>
        </a:p>
      </dsp:txBody>
      <dsp:txXfrm>
        <a:off x="6067327" y="1005518"/>
        <a:ext cx="25858" cy="25858"/>
      </dsp:txXfrm>
    </dsp:sp>
    <dsp:sp modelId="{4118286B-5D10-CD47-9088-BD58557B47FE}">
      <dsp:nvSpPr>
        <dsp:cNvPr id="0" name=""/>
        <dsp:cNvSpPr/>
      </dsp:nvSpPr>
      <dsp:spPr>
        <a:xfrm>
          <a:off x="6290227" y="906900"/>
          <a:ext cx="1049856" cy="524928"/>
        </a:xfrm>
        <a:prstGeom prst="roundRect">
          <a:avLst>
            <a:gd name="adj" fmla="val 10000"/>
          </a:avLst>
        </a:prstGeom>
        <a:solidFill>
          <a:srgbClr val="F4B182"/>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8255" tIns="8255" rIns="8255" bIns="8255" numCol="1" spcCol="1270" anchor="ctr" anchorCtr="0">
          <a:noAutofit/>
        </a:bodyPr>
        <a:lstStyle/>
        <a:p>
          <a:pPr marL="0" lvl="0" indent="0" algn="ctr" defTabSz="577850">
            <a:lnSpc>
              <a:spcPct val="90000"/>
            </a:lnSpc>
            <a:spcBef>
              <a:spcPct val="0"/>
            </a:spcBef>
            <a:spcAft>
              <a:spcPct val="35000"/>
            </a:spcAft>
            <a:buNone/>
          </a:pPr>
          <a:r>
            <a:rPr lang="en-US" sz="1300" kern="1200"/>
            <a:t>% Hors Montréal</a:t>
          </a:r>
        </a:p>
      </dsp:txBody>
      <dsp:txXfrm>
        <a:off x="6305602" y="922275"/>
        <a:ext cx="1019106" cy="494178"/>
      </dsp:txXfrm>
    </dsp:sp>
    <dsp:sp modelId="{484B0CBB-2F74-374E-93C4-FA13CAA6C7A7}">
      <dsp:nvSpPr>
        <dsp:cNvPr id="0" name=""/>
        <dsp:cNvSpPr/>
      </dsp:nvSpPr>
      <dsp:spPr>
        <a:xfrm>
          <a:off x="2930687" y="2366086"/>
          <a:ext cx="419942" cy="21225"/>
        </a:xfrm>
        <a:custGeom>
          <a:avLst/>
          <a:gdLst/>
          <a:ahLst/>
          <a:cxnLst/>
          <a:rect l="0" t="0" r="0" b="0"/>
          <a:pathLst>
            <a:path>
              <a:moveTo>
                <a:pt x="0" y="10612"/>
              </a:moveTo>
              <a:lnTo>
                <a:pt x="419942" y="10612"/>
              </a:lnTo>
            </a:path>
          </a:pathLst>
        </a:custGeom>
        <a:noFill/>
        <a:ln w="12700" cap="flat" cmpd="sng" algn="ctr">
          <a:solidFill>
            <a:schemeClr val="accent1">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txBody>
        <a:bodyPr spcFirstLastPara="0" vert="horz" wrap="square" lIns="12700" tIns="0" rIns="12700" bIns="0" numCol="1" spcCol="1270" anchor="ctr" anchorCtr="0">
          <a:noAutofit/>
        </a:bodyPr>
        <a:lstStyle/>
        <a:p>
          <a:pPr marL="0" lvl="0" indent="0" algn="ctr" defTabSz="222250">
            <a:lnSpc>
              <a:spcPct val="90000"/>
            </a:lnSpc>
            <a:spcBef>
              <a:spcPct val="0"/>
            </a:spcBef>
            <a:spcAft>
              <a:spcPct val="35000"/>
            </a:spcAft>
            <a:buNone/>
          </a:pPr>
          <a:endParaRPr lang="en-US" sz="500" kern="1200"/>
        </a:p>
      </dsp:txBody>
      <dsp:txXfrm>
        <a:off x="3130160" y="2366200"/>
        <a:ext cx="20997" cy="20997"/>
      </dsp:txXfrm>
    </dsp:sp>
    <dsp:sp modelId="{5C6B35D9-0398-2143-B0BF-1E58F0956F4F}">
      <dsp:nvSpPr>
        <dsp:cNvPr id="0" name=""/>
        <dsp:cNvSpPr/>
      </dsp:nvSpPr>
      <dsp:spPr>
        <a:xfrm>
          <a:off x="3350630" y="2114234"/>
          <a:ext cx="1049856" cy="524928"/>
        </a:xfrm>
        <a:prstGeom prst="roundRect">
          <a:avLst>
            <a:gd name="adj" fmla="val 10000"/>
          </a:avLst>
        </a:prstGeom>
        <a:solidFill>
          <a:srgbClr val="99BFE1"/>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8255" tIns="8255" rIns="8255" bIns="8255" numCol="1" spcCol="1270" anchor="ctr" anchorCtr="0">
          <a:noAutofit/>
        </a:bodyPr>
        <a:lstStyle/>
        <a:p>
          <a:pPr marL="0" lvl="0" indent="0" algn="ctr" defTabSz="577850">
            <a:lnSpc>
              <a:spcPct val="90000"/>
            </a:lnSpc>
            <a:spcBef>
              <a:spcPct val="0"/>
            </a:spcBef>
            <a:spcAft>
              <a:spcPct val="35000"/>
            </a:spcAft>
            <a:buNone/>
          </a:pPr>
          <a:r>
            <a:rPr lang="en-US" sz="1300" kern="1200"/>
            <a:t>% surface TC</a:t>
          </a:r>
        </a:p>
      </dsp:txBody>
      <dsp:txXfrm>
        <a:off x="3366005" y="2129609"/>
        <a:ext cx="1019106" cy="494178"/>
      </dsp:txXfrm>
    </dsp:sp>
    <dsp:sp modelId="{372C61F1-5227-5341-A2B0-E3AE5C3D5B36}">
      <dsp:nvSpPr>
        <dsp:cNvPr id="0" name=""/>
        <dsp:cNvSpPr/>
      </dsp:nvSpPr>
      <dsp:spPr>
        <a:xfrm rot="19457599">
          <a:off x="4351877" y="2215169"/>
          <a:ext cx="517160" cy="21225"/>
        </a:xfrm>
        <a:custGeom>
          <a:avLst/>
          <a:gdLst/>
          <a:ahLst/>
          <a:cxnLst/>
          <a:rect l="0" t="0" r="0" b="0"/>
          <a:pathLst>
            <a:path>
              <a:moveTo>
                <a:pt x="0" y="10612"/>
              </a:moveTo>
              <a:lnTo>
                <a:pt x="517160" y="10612"/>
              </a:lnTo>
            </a:path>
          </a:pathLst>
        </a:custGeom>
        <a:noFill/>
        <a:ln w="12700" cap="flat" cmpd="sng" algn="ctr">
          <a:solidFill>
            <a:schemeClr val="accent1">
              <a:shade val="8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txBody>
        <a:bodyPr spcFirstLastPara="0" vert="horz" wrap="square" lIns="12700" tIns="0" rIns="12700" bIns="0" numCol="1" spcCol="1270" anchor="ctr" anchorCtr="0">
          <a:noAutofit/>
        </a:bodyPr>
        <a:lstStyle/>
        <a:p>
          <a:pPr marL="0" lvl="0" indent="0" algn="ctr" defTabSz="222250">
            <a:lnSpc>
              <a:spcPct val="90000"/>
            </a:lnSpc>
            <a:spcBef>
              <a:spcPct val="0"/>
            </a:spcBef>
            <a:spcAft>
              <a:spcPct val="35000"/>
            </a:spcAft>
            <a:buNone/>
          </a:pPr>
          <a:endParaRPr lang="en-US" sz="500" kern="1200"/>
        </a:p>
      </dsp:txBody>
      <dsp:txXfrm>
        <a:off x="4597528" y="2212852"/>
        <a:ext cx="25858" cy="25858"/>
      </dsp:txXfrm>
    </dsp:sp>
    <dsp:sp modelId="{BD9B701E-0BEB-6241-BDF9-F46B147852DA}">
      <dsp:nvSpPr>
        <dsp:cNvPr id="0" name=""/>
        <dsp:cNvSpPr/>
      </dsp:nvSpPr>
      <dsp:spPr>
        <a:xfrm>
          <a:off x="4820428" y="1812401"/>
          <a:ext cx="1049856" cy="524928"/>
        </a:xfrm>
        <a:prstGeom prst="roundRect">
          <a:avLst>
            <a:gd name="adj" fmla="val 10000"/>
          </a:avLst>
        </a:prstGeom>
        <a:solidFill>
          <a:srgbClr val="99BFE1"/>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8255" tIns="8255" rIns="8255" bIns="8255" numCol="1" spcCol="1270" anchor="ctr" anchorCtr="0">
          <a:noAutofit/>
        </a:bodyPr>
        <a:lstStyle/>
        <a:p>
          <a:pPr marL="0" lvl="0" indent="0" algn="ctr" defTabSz="577850">
            <a:lnSpc>
              <a:spcPct val="90000"/>
            </a:lnSpc>
            <a:spcBef>
              <a:spcPct val="0"/>
            </a:spcBef>
            <a:spcAft>
              <a:spcPct val="35000"/>
            </a:spcAft>
            <a:buNone/>
          </a:pPr>
          <a:r>
            <a:rPr lang="en-US" sz="1300" kern="1200"/>
            <a:t>% motif Travail et Étude</a:t>
          </a:r>
        </a:p>
      </dsp:txBody>
      <dsp:txXfrm>
        <a:off x="4835803" y="1827776"/>
        <a:ext cx="1019106" cy="494178"/>
      </dsp:txXfrm>
    </dsp:sp>
    <dsp:sp modelId="{7334B60D-5086-1446-8B25-AEF53283AC52}">
      <dsp:nvSpPr>
        <dsp:cNvPr id="0" name=""/>
        <dsp:cNvSpPr/>
      </dsp:nvSpPr>
      <dsp:spPr>
        <a:xfrm rot="19457599">
          <a:off x="5821675" y="1913335"/>
          <a:ext cx="517160" cy="21225"/>
        </a:xfrm>
        <a:custGeom>
          <a:avLst/>
          <a:gdLst/>
          <a:ahLst/>
          <a:cxnLst/>
          <a:rect l="0" t="0" r="0" b="0"/>
          <a:pathLst>
            <a:path>
              <a:moveTo>
                <a:pt x="0" y="10612"/>
              </a:moveTo>
              <a:lnTo>
                <a:pt x="517160" y="10612"/>
              </a:lnTo>
            </a:path>
          </a:pathLst>
        </a:custGeom>
        <a:noFill/>
        <a:ln w="12700" cap="flat" cmpd="sng" algn="ctr">
          <a:solidFill>
            <a:schemeClr val="accent1">
              <a:shade val="8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txBody>
        <a:bodyPr spcFirstLastPara="0" vert="horz" wrap="square" lIns="12700" tIns="0" rIns="12700" bIns="0" numCol="1" spcCol="1270" anchor="ctr" anchorCtr="0">
          <a:noAutofit/>
        </a:bodyPr>
        <a:lstStyle/>
        <a:p>
          <a:pPr marL="0" lvl="0" indent="0" algn="ctr" defTabSz="222250">
            <a:lnSpc>
              <a:spcPct val="90000"/>
            </a:lnSpc>
            <a:spcBef>
              <a:spcPct val="0"/>
            </a:spcBef>
            <a:spcAft>
              <a:spcPct val="35000"/>
            </a:spcAft>
            <a:buNone/>
          </a:pPr>
          <a:endParaRPr lang="en-US" sz="500" kern="1200"/>
        </a:p>
      </dsp:txBody>
      <dsp:txXfrm>
        <a:off x="6067327" y="1911019"/>
        <a:ext cx="25858" cy="25858"/>
      </dsp:txXfrm>
    </dsp:sp>
    <dsp:sp modelId="{9B9C24B1-5AFF-5F48-A6EE-2A38D0FA8805}">
      <dsp:nvSpPr>
        <dsp:cNvPr id="0" name=""/>
        <dsp:cNvSpPr/>
      </dsp:nvSpPr>
      <dsp:spPr>
        <a:xfrm>
          <a:off x="6290227" y="1510567"/>
          <a:ext cx="1049856" cy="524928"/>
        </a:xfrm>
        <a:prstGeom prst="roundRect">
          <a:avLst>
            <a:gd name="adj" fmla="val 10000"/>
          </a:avLst>
        </a:prstGeom>
        <a:solidFill>
          <a:srgbClr val="99BFE1"/>
        </a:solidFill>
        <a:ln w="38100" cap="flat" cmpd="sng" algn="ctr">
          <a:solidFill>
            <a:schemeClr val="tx1"/>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8255" tIns="8255" rIns="8255" bIns="8255" numCol="1" spcCol="1270" anchor="ctr" anchorCtr="0">
          <a:noAutofit/>
        </a:bodyPr>
        <a:lstStyle/>
        <a:p>
          <a:pPr marL="0" lvl="0" indent="0" algn="ctr" defTabSz="577850">
            <a:lnSpc>
              <a:spcPct val="90000"/>
            </a:lnSpc>
            <a:spcBef>
              <a:spcPct val="0"/>
            </a:spcBef>
            <a:spcAft>
              <a:spcPct val="35000"/>
            </a:spcAft>
            <a:buNone/>
          </a:pPr>
          <a:r>
            <a:rPr lang="en-US" sz="1300" kern="1200"/>
            <a:t>% MTL seulement</a:t>
          </a:r>
        </a:p>
      </dsp:txBody>
      <dsp:txXfrm>
        <a:off x="6305602" y="1525942"/>
        <a:ext cx="1019106" cy="494178"/>
      </dsp:txXfrm>
    </dsp:sp>
    <dsp:sp modelId="{B6C72CA7-DC82-C148-BB66-C1BE97CA48FA}">
      <dsp:nvSpPr>
        <dsp:cNvPr id="0" name=""/>
        <dsp:cNvSpPr/>
      </dsp:nvSpPr>
      <dsp:spPr>
        <a:xfrm rot="2142401">
          <a:off x="5821675" y="2215169"/>
          <a:ext cx="517160" cy="21225"/>
        </a:xfrm>
        <a:custGeom>
          <a:avLst/>
          <a:gdLst/>
          <a:ahLst/>
          <a:cxnLst/>
          <a:rect l="0" t="0" r="0" b="0"/>
          <a:pathLst>
            <a:path>
              <a:moveTo>
                <a:pt x="0" y="10612"/>
              </a:moveTo>
              <a:lnTo>
                <a:pt x="517160" y="10612"/>
              </a:lnTo>
            </a:path>
          </a:pathLst>
        </a:custGeom>
        <a:noFill/>
        <a:ln w="12700" cap="flat" cmpd="sng" algn="ctr">
          <a:solidFill>
            <a:schemeClr val="accent1">
              <a:shade val="8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txBody>
        <a:bodyPr spcFirstLastPara="0" vert="horz" wrap="square" lIns="12700" tIns="0" rIns="12700" bIns="0" numCol="1" spcCol="1270" anchor="ctr" anchorCtr="0">
          <a:noAutofit/>
        </a:bodyPr>
        <a:lstStyle/>
        <a:p>
          <a:pPr marL="0" lvl="0" indent="0" algn="ctr" defTabSz="222250">
            <a:lnSpc>
              <a:spcPct val="90000"/>
            </a:lnSpc>
            <a:spcBef>
              <a:spcPct val="0"/>
            </a:spcBef>
            <a:spcAft>
              <a:spcPct val="35000"/>
            </a:spcAft>
            <a:buNone/>
          </a:pPr>
          <a:endParaRPr lang="en-US" sz="500" kern="1200"/>
        </a:p>
      </dsp:txBody>
      <dsp:txXfrm>
        <a:off x="6067327" y="2212852"/>
        <a:ext cx="25858" cy="25858"/>
      </dsp:txXfrm>
    </dsp:sp>
    <dsp:sp modelId="{31CE1F89-D772-9543-A5CC-7E1AAB2A0956}">
      <dsp:nvSpPr>
        <dsp:cNvPr id="0" name=""/>
        <dsp:cNvSpPr/>
      </dsp:nvSpPr>
      <dsp:spPr>
        <a:xfrm>
          <a:off x="6290227" y="2114234"/>
          <a:ext cx="1049856" cy="524928"/>
        </a:xfrm>
        <a:prstGeom prst="roundRect">
          <a:avLst>
            <a:gd name="adj" fmla="val 10000"/>
          </a:avLst>
        </a:prstGeom>
        <a:solidFill>
          <a:srgbClr val="99BFE1"/>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8255" tIns="8255" rIns="8255" bIns="8255" numCol="1" spcCol="1270" anchor="ctr" anchorCtr="0">
          <a:noAutofit/>
        </a:bodyPr>
        <a:lstStyle/>
        <a:p>
          <a:pPr marL="0" lvl="0" indent="0" algn="ctr" defTabSz="577850">
            <a:lnSpc>
              <a:spcPct val="90000"/>
            </a:lnSpc>
            <a:spcBef>
              <a:spcPct val="0"/>
            </a:spcBef>
            <a:spcAft>
              <a:spcPct val="35000"/>
            </a:spcAft>
            <a:buNone/>
          </a:pPr>
          <a:r>
            <a:rPr lang="en-US" sz="1300" kern="1200"/>
            <a:t>% Hors Montréal</a:t>
          </a:r>
        </a:p>
      </dsp:txBody>
      <dsp:txXfrm>
        <a:off x="6305602" y="2129609"/>
        <a:ext cx="1019106" cy="494178"/>
      </dsp:txXfrm>
    </dsp:sp>
    <dsp:sp modelId="{86D142B6-12E8-9447-B43C-7F87158550CD}">
      <dsp:nvSpPr>
        <dsp:cNvPr id="0" name=""/>
        <dsp:cNvSpPr/>
      </dsp:nvSpPr>
      <dsp:spPr>
        <a:xfrm rot="2142401">
          <a:off x="4351877" y="2517002"/>
          <a:ext cx="517160" cy="21225"/>
        </a:xfrm>
        <a:custGeom>
          <a:avLst/>
          <a:gdLst/>
          <a:ahLst/>
          <a:cxnLst/>
          <a:rect l="0" t="0" r="0" b="0"/>
          <a:pathLst>
            <a:path>
              <a:moveTo>
                <a:pt x="0" y="10612"/>
              </a:moveTo>
              <a:lnTo>
                <a:pt x="517160" y="10612"/>
              </a:lnTo>
            </a:path>
          </a:pathLst>
        </a:custGeom>
        <a:noFill/>
        <a:ln w="12700" cap="flat" cmpd="sng" algn="ctr">
          <a:solidFill>
            <a:schemeClr val="accent1">
              <a:shade val="8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txBody>
        <a:bodyPr spcFirstLastPara="0" vert="horz" wrap="square" lIns="12700" tIns="0" rIns="12700" bIns="0" numCol="1" spcCol="1270" anchor="ctr" anchorCtr="0">
          <a:noAutofit/>
        </a:bodyPr>
        <a:lstStyle/>
        <a:p>
          <a:pPr marL="0" lvl="0" indent="0" algn="ctr" defTabSz="222250">
            <a:lnSpc>
              <a:spcPct val="90000"/>
            </a:lnSpc>
            <a:spcBef>
              <a:spcPct val="0"/>
            </a:spcBef>
            <a:spcAft>
              <a:spcPct val="35000"/>
            </a:spcAft>
            <a:buNone/>
          </a:pPr>
          <a:endParaRPr lang="en-US" sz="500" kern="1200"/>
        </a:p>
      </dsp:txBody>
      <dsp:txXfrm>
        <a:off x="4597528" y="2514686"/>
        <a:ext cx="25858" cy="25858"/>
      </dsp:txXfrm>
    </dsp:sp>
    <dsp:sp modelId="{B0C0681F-7703-F041-A441-509350E09F32}">
      <dsp:nvSpPr>
        <dsp:cNvPr id="0" name=""/>
        <dsp:cNvSpPr/>
      </dsp:nvSpPr>
      <dsp:spPr>
        <a:xfrm>
          <a:off x="4820428" y="2416068"/>
          <a:ext cx="1049856" cy="524928"/>
        </a:xfrm>
        <a:prstGeom prst="roundRect">
          <a:avLst>
            <a:gd name="adj" fmla="val 10000"/>
          </a:avLst>
        </a:prstGeom>
        <a:solidFill>
          <a:srgbClr val="99BFE1"/>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8255" tIns="8255" rIns="8255" bIns="8255" numCol="1" spcCol="1270" anchor="ctr" anchorCtr="0">
          <a:noAutofit/>
        </a:bodyPr>
        <a:lstStyle/>
        <a:p>
          <a:pPr marL="0" lvl="0" indent="0" algn="ctr" defTabSz="577850">
            <a:lnSpc>
              <a:spcPct val="90000"/>
            </a:lnSpc>
            <a:spcBef>
              <a:spcPct val="0"/>
            </a:spcBef>
            <a:spcAft>
              <a:spcPct val="35000"/>
            </a:spcAft>
            <a:buNone/>
          </a:pPr>
          <a:r>
            <a:rPr lang="en-US" sz="1300" kern="1200"/>
            <a:t>% motif autre</a:t>
          </a:r>
        </a:p>
      </dsp:txBody>
      <dsp:txXfrm>
        <a:off x="4835803" y="2431443"/>
        <a:ext cx="1019106" cy="494178"/>
      </dsp:txXfrm>
    </dsp:sp>
    <dsp:sp modelId="{715283C1-13DC-5049-AB42-1E464781DBBE}">
      <dsp:nvSpPr>
        <dsp:cNvPr id="0" name=""/>
        <dsp:cNvSpPr/>
      </dsp:nvSpPr>
      <dsp:spPr>
        <a:xfrm rot="4249260">
          <a:off x="2501517" y="2969753"/>
          <a:ext cx="1278283" cy="21225"/>
        </a:xfrm>
        <a:custGeom>
          <a:avLst/>
          <a:gdLst/>
          <a:ahLst/>
          <a:cxnLst/>
          <a:rect l="0" t="0" r="0" b="0"/>
          <a:pathLst>
            <a:path>
              <a:moveTo>
                <a:pt x="0" y="10612"/>
              </a:moveTo>
              <a:lnTo>
                <a:pt x="1278283" y="10612"/>
              </a:lnTo>
            </a:path>
          </a:pathLst>
        </a:custGeom>
        <a:noFill/>
        <a:ln w="12700" cap="flat" cmpd="sng" algn="ctr">
          <a:solidFill>
            <a:schemeClr val="accent1">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txBody>
        <a:bodyPr spcFirstLastPara="0" vert="horz" wrap="square" lIns="12700" tIns="0" rIns="12700" bIns="0" numCol="1" spcCol="1270" anchor="ctr" anchorCtr="0">
          <a:noAutofit/>
        </a:bodyPr>
        <a:lstStyle/>
        <a:p>
          <a:pPr marL="0" lvl="0" indent="0" algn="ctr" defTabSz="222250">
            <a:lnSpc>
              <a:spcPct val="90000"/>
            </a:lnSpc>
            <a:spcBef>
              <a:spcPct val="0"/>
            </a:spcBef>
            <a:spcAft>
              <a:spcPct val="35000"/>
            </a:spcAft>
            <a:buNone/>
          </a:pPr>
          <a:endParaRPr lang="en-US" sz="500" kern="1200"/>
        </a:p>
      </dsp:txBody>
      <dsp:txXfrm>
        <a:off x="3108701" y="2948409"/>
        <a:ext cx="63914" cy="63914"/>
      </dsp:txXfrm>
    </dsp:sp>
    <dsp:sp modelId="{99A646EF-6039-7947-AE06-D24145073D7B}">
      <dsp:nvSpPr>
        <dsp:cNvPr id="0" name=""/>
        <dsp:cNvSpPr/>
      </dsp:nvSpPr>
      <dsp:spPr>
        <a:xfrm>
          <a:off x="3350630" y="3321569"/>
          <a:ext cx="1049856" cy="524928"/>
        </a:xfrm>
        <a:prstGeom prst="roundRect">
          <a:avLst>
            <a:gd name="adj" fmla="val 10000"/>
          </a:avLst>
        </a:prstGeom>
        <a:solidFill>
          <a:srgbClr val="92D050"/>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8255" tIns="8255" rIns="8255" bIns="8255" numCol="1" spcCol="1270" anchor="ctr" anchorCtr="0">
          <a:noAutofit/>
        </a:bodyPr>
        <a:lstStyle/>
        <a:p>
          <a:pPr marL="0" lvl="0" indent="0" algn="ctr" defTabSz="577850">
            <a:lnSpc>
              <a:spcPct val="90000"/>
            </a:lnSpc>
            <a:spcBef>
              <a:spcPct val="0"/>
            </a:spcBef>
            <a:spcAft>
              <a:spcPct val="35000"/>
            </a:spcAft>
            <a:buNone/>
          </a:pPr>
          <a:r>
            <a:rPr lang="en-US" sz="1300" kern="1200"/>
            <a:t>% surface Vélo</a:t>
          </a:r>
        </a:p>
      </dsp:txBody>
      <dsp:txXfrm>
        <a:off x="3366005" y="3336944"/>
        <a:ext cx="1019106" cy="494178"/>
      </dsp:txXfrm>
    </dsp:sp>
    <dsp:sp modelId="{FC6221D1-DF87-3840-838A-1A48C9661405}">
      <dsp:nvSpPr>
        <dsp:cNvPr id="0" name=""/>
        <dsp:cNvSpPr/>
      </dsp:nvSpPr>
      <dsp:spPr>
        <a:xfrm rot="19457599">
          <a:off x="4351877" y="3422503"/>
          <a:ext cx="517160" cy="21225"/>
        </a:xfrm>
        <a:custGeom>
          <a:avLst/>
          <a:gdLst/>
          <a:ahLst/>
          <a:cxnLst/>
          <a:rect l="0" t="0" r="0" b="0"/>
          <a:pathLst>
            <a:path>
              <a:moveTo>
                <a:pt x="0" y="10612"/>
              </a:moveTo>
              <a:lnTo>
                <a:pt x="517160" y="10612"/>
              </a:lnTo>
            </a:path>
          </a:pathLst>
        </a:custGeom>
        <a:noFill/>
        <a:ln w="12700" cap="flat" cmpd="sng" algn="ctr">
          <a:solidFill>
            <a:schemeClr val="accent1">
              <a:shade val="8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txBody>
        <a:bodyPr spcFirstLastPara="0" vert="horz" wrap="square" lIns="12700" tIns="0" rIns="12700" bIns="0" numCol="1" spcCol="1270" anchor="ctr" anchorCtr="0">
          <a:noAutofit/>
        </a:bodyPr>
        <a:lstStyle/>
        <a:p>
          <a:pPr marL="0" lvl="0" indent="0" algn="ctr" defTabSz="222250">
            <a:lnSpc>
              <a:spcPct val="90000"/>
            </a:lnSpc>
            <a:spcBef>
              <a:spcPct val="0"/>
            </a:spcBef>
            <a:spcAft>
              <a:spcPct val="35000"/>
            </a:spcAft>
            <a:buNone/>
          </a:pPr>
          <a:endParaRPr lang="en-US" sz="500" kern="1200"/>
        </a:p>
      </dsp:txBody>
      <dsp:txXfrm>
        <a:off x="4597528" y="3420187"/>
        <a:ext cx="25858" cy="25858"/>
      </dsp:txXfrm>
    </dsp:sp>
    <dsp:sp modelId="{255A0E31-1EA7-1F4A-9F23-F62ADD1585AC}">
      <dsp:nvSpPr>
        <dsp:cNvPr id="0" name=""/>
        <dsp:cNvSpPr/>
      </dsp:nvSpPr>
      <dsp:spPr>
        <a:xfrm>
          <a:off x="4820428" y="3019735"/>
          <a:ext cx="1049856" cy="524928"/>
        </a:xfrm>
        <a:prstGeom prst="roundRect">
          <a:avLst>
            <a:gd name="adj" fmla="val 10000"/>
          </a:avLst>
        </a:prstGeom>
        <a:solidFill>
          <a:srgbClr val="92D050"/>
        </a:solidFill>
        <a:ln w="38100" cap="flat" cmpd="sng" algn="ctr">
          <a:solidFill>
            <a:scrgbClr r="0" g="0" b="0"/>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8255" tIns="8255" rIns="8255" bIns="8255" numCol="1" spcCol="1270" anchor="ctr" anchorCtr="0">
          <a:noAutofit/>
        </a:bodyPr>
        <a:lstStyle/>
        <a:p>
          <a:pPr marL="0" lvl="0" indent="0" algn="ctr" defTabSz="577850">
            <a:lnSpc>
              <a:spcPct val="90000"/>
            </a:lnSpc>
            <a:spcBef>
              <a:spcPct val="0"/>
            </a:spcBef>
            <a:spcAft>
              <a:spcPct val="35000"/>
            </a:spcAft>
            <a:buNone/>
          </a:pPr>
          <a:r>
            <a:rPr lang="en-US" sz="1300" kern="1200"/>
            <a:t>% utilitaire</a:t>
          </a:r>
        </a:p>
      </dsp:txBody>
      <dsp:txXfrm>
        <a:off x="4835803" y="3035110"/>
        <a:ext cx="1019106" cy="494178"/>
      </dsp:txXfrm>
    </dsp:sp>
    <dsp:sp modelId="{6CAD4F7A-25AC-0C4C-A636-F5920373C0BE}">
      <dsp:nvSpPr>
        <dsp:cNvPr id="0" name=""/>
        <dsp:cNvSpPr/>
      </dsp:nvSpPr>
      <dsp:spPr>
        <a:xfrm rot="2142401">
          <a:off x="4351877" y="3724337"/>
          <a:ext cx="517160" cy="21225"/>
        </a:xfrm>
        <a:custGeom>
          <a:avLst/>
          <a:gdLst/>
          <a:ahLst/>
          <a:cxnLst/>
          <a:rect l="0" t="0" r="0" b="0"/>
          <a:pathLst>
            <a:path>
              <a:moveTo>
                <a:pt x="0" y="10612"/>
              </a:moveTo>
              <a:lnTo>
                <a:pt x="517160" y="10612"/>
              </a:lnTo>
            </a:path>
          </a:pathLst>
        </a:custGeom>
        <a:noFill/>
        <a:ln w="12700" cap="flat" cmpd="sng" algn="ctr">
          <a:solidFill>
            <a:schemeClr val="accent1">
              <a:shade val="8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txBody>
        <a:bodyPr spcFirstLastPara="0" vert="horz" wrap="square" lIns="12700" tIns="0" rIns="12700" bIns="0" numCol="1" spcCol="1270" anchor="ctr" anchorCtr="0">
          <a:noAutofit/>
        </a:bodyPr>
        <a:lstStyle/>
        <a:p>
          <a:pPr marL="0" lvl="0" indent="0" algn="ctr" defTabSz="222250">
            <a:lnSpc>
              <a:spcPct val="90000"/>
            </a:lnSpc>
            <a:spcBef>
              <a:spcPct val="0"/>
            </a:spcBef>
            <a:spcAft>
              <a:spcPct val="35000"/>
            </a:spcAft>
            <a:buNone/>
          </a:pPr>
          <a:endParaRPr lang="en-US" sz="500" kern="1200"/>
        </a:p>
      </dsp:txBody>
      <dsp:txXfrm>
        <a:off x="4597528" y="3722021"/>
        <a:ext cx="25858" cy="25858"/>
      </dsp:txXfrm>
    </dsp:sp>
    <dsp:sp modelId="{9812DF29-401E-5841-9CD3-B41BC8F7438B}">
      <dsp:nvSpPr>
        <dsp:cNvPr id="0" name=""/>
        <dsp:cNvSpPr/>
      </dsp:nvSpPr>
      <dsp:spPr>
        <a:xfrm>
          <a:off x="4820428" y="3623403"/>
          <a:ext cx="1049856" cy="524928"/>
        </a:xfrm>
        <a:prstGeom prst="roundRect">
          <a:avLst>
            <a:gd name="adj" fmla="val 10000"/>
          </a:avLst>
        </a:prstGeom>
        <a:solidFill>
          <a:srgbClr val="92D050"/>
        </a:solidFill>
        <a:ln w="12700" cap="flat" cmpd="sng" algn="ctr">
          <a:solidFill>
            <a:schemeClr val="lt1">
              <a:hueOff val="0"/>
              <a:satOff val="0"/>
              <a:lumOff val="0"/>
              <a:alphaOff val="0"/>
            </a:schemeClr>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8255" tIns="8255" rIns="8255" bIns="8255" numCol="1" spcCol="1270" anchor="ctr" anchorCtr="0">
          <a:noAutofit/>
        </a:bodyPr>
        <a:lstStyle/>
        <a:p>
          <a:pPr marL="0" lvl="0" indent="0" algn="ctr" defTabSz="577850">
            <a:lnSpc>
              <a:spcPct val="90000"/>
            </a:lnSpc>
            <a:spcBef>
              <a:spcPct val="0"/>
            </a:spcBef>
            <a:spcAft>
              <a:spcPct val="35000"/>
            </a:spcAft>
            <a:buNone/>
          </a:pPr>
          <a:r>
            <a:rPr lang="en-US" sz="1300" kern="1200"/>
            <a:t>% autre</a:t>
          </a:r>
        </a:p>
      </dsp:txBody>
      <dsp:txXfrm>
        <a:off x="4835803" y="3638778"/>
        <a:ext cx="1019106" cy="494178"/>
      </dsp:txXfrm>
    </dsp:sp>
    <dsp:sp modelId="{C00E3A78-703A-124A-9FBE-AEAB8E282141}">
      <dsp:nvSpPr>
        <dsp:cNvPr id="0" name=""/>
        <dsp:cNvSpPr/>
      </dsp:nvSpPr>
      <dsp:spPr>
        <a:xfrm rot="4616685">
          <a:off x="2211132" y="3271586"/>
          <a:ext cx="1859053" cy="21225"/>
        </a:xfrm>
        <a:custGeom>
          <a:avLst/>
          <a:gdLst/>
          <a:ahLst/>
          <a:cxnLst/>
          <a:rect l="0" t="0" r="0" b="0"/>
          <a:pathLst>
            <a:path>
              <a:moveTo>
                <a:pt x="0" y="10612"/>
              </a:moveTo>
              <a:lnTo>
                <a:pt x="1859053" y="10612"/>
              </a:lnTo>
            </a:path>
          </a:pathLst>
        </a:custGeom>
        <a:noFill/>
        <a:ln w="12700" cap="flat" cmpd="sng" algn="ctr">
          <a:solidFill>
            <a:schemeClr val="accent1">
              <a:shade val="60000"/>
              <a:hueOff val="0"/>
              <a:satOff val="0"/>
              <a:lumOff val="0"/>
              <a:alphaOff val="0"/>
            </a:schemeClr>
          </a:solidFill>
          <a:prstDash val="solid"/>
          <a:miter lim="800000"/>
        </a:ln>
        <a:effectLst/>
      </dsp:spPr>
      <dsp:style>
        <a:lnRef idx="2">
          <a:scrgbClr r="0" g="0" b="0"/>
        </a:lnRef>
        <a:fillRef idx="0">
          <a:scrgbClr r="0" g="0" b="0"/>
        </a:fillRef>
        <a:effectRef idx="0">
          <a:scrgbClr r="0" g="0" b="0"/>
        </a:effectRef>
        <a:fontRef idx="minor"/>
      </dsp:style>
      <dsp:txBody>
        <a:bodyPr spcFirstLastPara="0" vert="horz" wrap="square" lIns="12700" tIns="0" rIns="12700" bIns="0" numCol="1" spcCol="1270" anchor="ctr" anchorCtr="0">
          <a:noAutofit/>
        </a:bodyPr>
        <a:lstStyle/>
        <a:p>
          <a:pPr marL="0" lvl="0" indent="0" algn="ctr" defTabSz="266700">
            <a:lnSpc>
              <a:spcPct val="90000"/>
            </a:lnSpc>
            <a:spcBef>
              <a:spcPct val="0"/>
            </a:spcBef>
            <a:spcAft>
              <a:spcPct val="35000"/>
            </a:spcAft>
            <a:buNone/>
          </a:pPr>
          <a:endParaRPr lang="en-US" sz="600" kern="1200"/>
        </a:p>
      </dsp:txBody>
      <dsp:txXfrm>
        <a:off x="3094182" y="3235723"/>
        <a:ext cx="92952" cy="92952"/>
      </dsp:txXfrm>
    </dsp:sp>
    <dsp:sp modelId="{C04E3E01-E1B9-2F4A-9EB1-24E61F4B3E27}">
      <dsp:nvSpPr>
        <dsp:cNvPr id="0" name=""/>
        <dsp:cNvSpPr/>
      </dsp:nvSpPr>
      <dsp:spPr>
        <a:xfrm>
          <a:off x="3350630" y="3925236"/>
          <a:ext cx="1049856" cy="524928"/>
        </a:xfrm>
        <a:prstGeom prst="roundRect">
          <a:avLst>
            <a:gd name="adj" fmla="val 10000"/>
          </a:avLst>
        </a:prstGeom>
        <a:solidFill>
          <a:schemeClr val="accent4"/>
        </a:solidFill>
        <a:ln w="38100" cap="flat" cmpd="sng" algn="ctr">
          <a:solidFill>
            <a:scrgbClr r="0" g="0" b="0"/>
          </a:solidFill>
          <a:prstDash val="solid"/>
          <a:miter lim="800000"/>
        </a:ln>
        <a:effectLst/>
      </dsp:spPr>
      <dsp:style>
        <a:lnRef idx="2">
          <a:scrgbClr r="0" g="0" b="0"/>
        </a:lnRef>
        <a:fillRef idx="1">
          <a:scrgbClr r="0" g="0" b="0"/>
        </a:fillRef>
        <a:effectRef idx="0">
          <a:scrgbClr r="0" g="0" b="0"/>
        </a:effectRef>
        <a:fontRef idx="minor">
          <a:schemeClr val="lt1"/>
        </a:fontRef>
      </dsp:style>
      <dsp:txBody>
        <a:bodyPr spcFirstLastPara="0" vert="horz" wrap="square" lIns="8255" tIns="8255" rIns="8255" bIns="8255" numCol="1" spcCol="1270" anchor="ctr" anchorCtr="0">
          <a:noAutofit/>
        </a:bodyPr>
        <a:lstStyle/>
        <a:p>
          <a:pPr marL="0" lvl="0" indent="0" algn="ctr" defTabSz="577850">
            <a:lnSpc>
              <a:spcPct val="90000"/>
            </a:lnSpc>
            <a:spcBef>
              <a:spcPct val="0"/>
            </a:spcBef>
            <a:spcAft>
              <a:spcPct val="35000"/>
            </a:spcAft>
            <a:buNone/>
          </a:pPr>
          <a:r>
            <a:rPr lang="en-US" sz="1300" kern="1200"/>
            <a:t>% surface Marche</a:t>
          </a:r>
        </a:p>
      </dsp:txBody>
      <dsp:txXfrm>
        <a:off x="3366005" y="3940611"/>
        <a:ext cx="1019106" cy="494178"/>
      </dsp:txXfrm>
    </dsp:sp>
  </dsp:spTree>
</dsp:drawing>
</file>

<file path=xl/diagrams/layout1.xml><?xml version="1.0" encoding="utf-8"?>
<dgm:layoutDef xmlns:dgm="http://schemas.openxmlformats.org/drawingml/2006/diagram" xmlns:a="http://schemas.openxmlformats.org/drawingml/2006/main" uniqueId="urn:microsoft.com/office/officeart/2005/8/layout/hierarchy2">
  <dgm:title val=""/>
  <dgm:desc val=""/>
  <dgm:catLst>
    <dgm:cat type="hierarchy" pri="5000"/>
  </dgm:catLst>
  <dgm:sampData>
    <dgm:dataModel>
      <dgm:ptLst>
        <dgm:pt modelId="0" type="doc"/>
        <dgm:pt modelId="1">
          <dgm:prSet phldr="1"/>
        </dgm:pt>
        <dgm:pt modelId="2">
          <dgm:prSet phldr="1"/>
        </dgm:pt>
        <dgm:pt modelId="21">
          <dgm:prSet phldr="1"/>
        </dgm:pt>
        <dgm:pt modelId="22">
          <dgm:prSet phldr="1"/>
        </dgm:pt>
        <dgm:pt modelId="3">
          <dgm:prSet phldr="1"/>
        </dgm:pt>
        <dgm:pt modelId="31">
          <dgm:prSet phldr="1"/>
        </dgm:pt>
      </dgm:ptLst>
      <dgm:cxnLst>
        <dgm:cxn modelId="4" srcId="0" destId="1" srcOrd="0" destOrd="0"/>
        <dgm:cxn modelId="5" srcId="1" destId="2" srcOrd="0" destOrd="0"/>
        <dgm:cxn modelId="6" srcId="1" destId="3" srcOrd="1" destOrd="0"/>
        <dgm:cxn modelId="23" srcId="2" destId="21" srcOrd="0" destOrd="0"/>
        <dgm:cxn modelId="24" srcId="2" destId="22" srcOrd="1" destOrd="0"/>
        <dgm:cxn modelId="33" srcId="3" destId="31" srcOrd="0" destOrd="0"/>
      </dgm:cxnLst>
      <dgm:bg/>
      <dgm:whole/>
    </dgm:dataModel>
  </dgm:sampData>
  <dgm:styleData>
    <dgm:dataModel>
      <dgm:ptLst>
        <dgm:pt modelId="0" type="doc"/>
        <dgm:pt modelId="1"/>
        <dgm:pt modelId="11"/>
        <dgm:pt modelId="12"/>
      </dgm:ptLst>
      <dgm:cxnLst>
        <dgm:cxn modelId="2" srcId="0" destId="1" srcOrd="0" destOrd="0"/>
        <dgm:cxn modelId="13" srcId="1" destId="11" srcOrd="0" destOrd="0"/>
        <dgm:cxn modelId="14" srcId="1" destId="12" srcOrd="1" destOrd="0"/>
      </dgm:cxnLst>
      <dgm:bg/>
      <dgm:whole/>
    </dgm:dataModel>
  </dgm:styleData>
  <dgm:clrData>
    <dgm:dataModel>
      <dgm:ptLst>
        <dgm:pt modelId="0" type="doc"/>
        <dgm:pt modelId="1"/>
        <dgm:pt modelId="2"/>
        <dgm:pt modelId="21"/>
        <dgm:pt modelId="211"/>
        <dgm:pt modelId="3"/>
        <dgm:pt modelId="31"/>
        <dgm:pt modelId="311"/>
      </dgm:ptLst>
      <dgm:cxnLst>
        <dgm:cxn modelId="4" srcId="0" destId="1" srcOrd="0" destOrd="0"/>
        <dgm:cxn modelId="5" srcId="1" destId="2" srcOrd="0" destOrd="0"/>
        <dgm:cxn modelId="6" srcId="1" destId="3" srcOrd="1" destOrd="0"/>
        <dgm:cxn modelId="23" srcId="2" destId="21" srcOrd="0" destOrd="0"/>
        <dgm:cxn modelId="24" srcId="21" destId="211" srcOrd="0" destOrd="0"/>
        <dgm:cxn modelId="33" srcId="3" destId="31" srcOrd="0" destOrd="0"/>
        <dgm:cxn modelId="34" srcId="31" destId="311" srcOrd="0" destOrd="0"/>
      </dgm:cxnLst>
      <dgm:bg/>
      <dgm:whole/>
    </dgm:dataModel>
  </dgm:clrData>
  <dgm:layoutNode name="diagram">
    <dgm:varLst>
      <dgm:chPref val="1"/>
      <dgm:dir/>
      <dgm:animOne val="branch"/>
      <dgm:animLvl val="lvl"/>
      <dgm:resizeHandles val="exact"/>
    </dgm:varLst>
    <dgm:choose name="Name0">
      <dgm:if name="Name1" func="var" arg="dir" op="equ" val="norm">
        <dgm:alg type="hierChild">
          <dgm:param type="linDir" val="fromT"/>
          <dgm:param type="chAlign" val="l"/>
        </dgm:alg>
      </dgm:if>
      <dgm:else name="Name2">
        <dgm:alg type="hierChild">
          <dgm:param type="linDir" val="fromT"/>
          <dgm:param type="chAlign" val="r"/>
        </dgm:alg>
      </dgm:else>
    </dgm:choose>
    <dgm:shape xmlns:r="http://schemas.openxmlformats.org/officeDocument/2006/relationships" r:blip="">
      <dgm:adjLst/>
    </dgm:shape>
    <dgm:presOf/>
    <dgm:constrLst>
      <dgm:constr type="h" for="des" ptType="node" refType="h"/>
      <dgm:constr type="w" for="des" ptType="node" refType="h" refFor="des" refPtType="node" fact="2"/>
      <dgm:constr type="sibSp" refType="h" refFor="des" refPtType="node" op="equ" fact="0.15"/>
      <dgm:constr type="sibSp" for="des" forName="level2hierChild" refType="h" refFor="des" refPtType="node" op="equ" fact="0.15"/>
      <dgm:constr type="sibSp" for="des" forName="level3hierChild" refType="h" refFor="des" refPtType="node" op="equ" fact="0.15"/>
      <dgm:constr type="sp" for="des" forName="root1" refType="w" refFor="des" refPtType="node" fact="0.4"/>
      <dgm:constr type="sp" for="des" forName="root2" refType="sp" refFor="des" refForName="root1" op="equ"/>
      <dgm:constr type="primFontSz" for="des" ptType="node" op="equ" val="65"/>
      <dgm:constr type="primFontSz" for="des" forName="connTx" op="equ" val="55"/>
      <dgm:constr type="primFontSz" for="des" forName="connTx" refType="primFontSz" refFor="des" refPtType="node" op="lte" fact="0.8"/>
    </dgm:constrLst>
    <dgm:ruleLst/>
    <dgm:forEach name="Name3" axis="ch">
      <dgm:forEach name="Name4" axis="self" ptType="node">
        <dgm:layoutNode name="root1">
          <dgm:choose name="Name5">
            <dgm:if name="Name6" func="var" arg="dir" op="equ" val="norm">
              <dgm:alg type="hierRoot">
                <dgm:param type="hierAlign" val="lCtrCh"/>
              </dgm:alg>
            </dgm:if>
            <dgm:else name="Name7">
              <dgm:alg type="hierRoot">
                <dgm:param type="hierAlign" val="rCtrCh"/>
              </dgm:alg>
            </dgm:else>
          </dgm:choose>
          <dgm:shape xmlns:r="http://schemas.openxmlformats.org/officeDocument/2006/relationships" r:blip="">
            <dgm:adjLst/>
          </dgm:shape>
          <dgm:presOf/>
          <dgm:constrLst/>
          <dgm:ruleLst/>
          <dgm:layoutNode name="LevelOneTextNode" styleLbl="node0">
            <dgm:varLst>
              <dgm:chPref val="3"/>
            </dgm:varLst>
            <dgm:alg type="tx"/>
            <dgm:shape xmlns:r="http://schemas.openxmlformats.org/officeDocument/2006/relationships" type="roundRect" r:blip="">
              <dgm:adjLst>
                <dgm:adj idx="1" val="0.1"/>
              </dgm:adjLst>
            </dgm:shape>
            <dgm:presOf axis="self"/>
            <dgm:constrLst>
              <dgm:constr type="tMarg" refType="primFontSz" fact="0.05"/>
              <dgm:constr type="bMarg" refType="primFontSz" fact="0.05"/>
              <dgm:constr type="lMarg" refType="primFontSz" fact="0.05"/>
              <dgm:constr type="rMarg" refType="primFontSz" fact="0.05"/>
            </dgm:constrLst>
            <dgm:ruleLst>
              <dgm:rule type="primFontSz" val="5" fact="NaN" max="NaN"/>
            </dgm:ruleLst>
          </dgm:layoutNode>
          <dgm:layoutNode name="level2hierChild">
            <dgm:choose name="Name8">
              <dgm:if name="Name9" func="var" arg="dir" op="equ" val="norm">
                <dgm:alg type="hierChild">
                  <dgm:param type="linDir" val="fromT"/>
                  <dgm:param type="chAlign" val="l"/>
                </dgm:alg>
              </dgm:if>
              <dgm:else name="Name10">
                <dgm:alg type="hierChild">
                  <dgm:param type="linDir" val="fromT"/>
                  <dgm:param type="chAlign" val="r"/>
                </dgm:alg>
              </dgm:else>
            </dgm:choose>
            <dgm:shape xmlns:r="http://schemas.openxmlformats.org/officeDocument/2006/relationships" r:blip="">
              <dgm:adjLst/>
            </dgm:shape>
            <dgm:presOf/>
            <dgm:constrLst/>
            <dgm:ruleLst/>
            <dgm:forEach name="repeat" axis="ch">
              <dgm:forEach name="Name11" axis="self" ptType="parTrans" cnt="1">
                <dgm:layoutNode name="conn2-1">
                  <dgm:choose name="Name12">
                    <dgm:if name="Name13" func="var" arg="dir" op="equ" val="norm">
                      <dgm:alg type="conn">
                        <dgm:param type="dim" val="1D"/>
                        <dgm:param type="begPts" val="midR"/>
                        <dgm:param type="endPts" val="midL"/>
                        <dgm:param type="endSty" val="noArr"/>
                      </dgm:alg>
                    </dgm:if>
                    <dgm:else name="Name14">
                      <dgm:alg type="conn">
                        <dgm:param type="dim" val="1D"/>
                        <dgm:param type="begPts" val="midL"/>
                        <dgm:param type="endPts" val="midR"/>
                        <dgm:param type="endSty" val="noArr"/>
                      </dgm:alg>
                    </dgm:else>
                  </dgm:choose>
                  <dgm:shape xmlns:r="http://schemas.openxmlformats.org/officeDocument/2006/relationships" type="conn" r:blip="">
                    <dgm:adjLst/>
                  </dgm:shape>
                  <dgm:presOf axis="self"/>
                  <dgm:constrLst>
                    <dgm:constr type="w" val="1"/>
                    <dgm:constr type="h" val="5"/>
                    <dgm:constr type="connDist"/>
                    <dgm:constr type="begPad"/>
                    <dgm:constr type="endPad"/>
                    <dgm:constr type="userA" for="ch" refType="connDist"/>
                  </dgm:constrLst>
                  <dgm:ruleLst/>
                  <dgm:layoutNode name="connTx">
                    <dgm:alg type="tx">
                      <dgm:param type="autoTxRot" val="grav"/>
                    </dgm:alg>
                    <dgm:shape xmlns:r="http://schemas.openxmlformats.org/officeDocument/2006/relationships" type="rect" r:blip="" hideGeom="1">
                      <dgm:adjLst/>
                    </dgm:shape>
                    <dgm:presOf axis="self"/>
                    <dgm:constrLst>
                      <dgm:constr type="userA"/>
                      <dgm:constr type="w" refType="userA" fact="0.05"/>
                      <dgm:constr type="h" refType="userA" fact="0.05"/>
                      <dgm:constr type="lMarg" val="1"/>
                      <dgm:constr type="rMarg" val="1"/>
                      <dgm:constr type="tMarg"/>
                      <dgm:constr type="bMarg"/>
                    </dgm:constrLst>
                    <dgm:ruleLst>
                      <dgm:rule type="h" val="NaN" fact="0.25" max="NaN"/>
                      <dgm:rule type="w" val="NaN" fact="0.8" max="NaN"/>
                      <dgm:rule type="primFontSz" val="5" fact="NaN" max="NaN"/>
                    </dgm:ruleLst>
                  </dgm:layoutNode>
                </dgm:layoutNode>
              </dgm:forEach>
              <dgm:forEach name="Name15" axis="self" ptType="node">
                <dgm:layoutNode name="root2">
                  <dgm:choose name="Name16">
                    <dgm:if name="Name17" func="var" arg="dir" op="equ" val="norm">
                      <dgm:alg type="hierRoot">
                        <dgm:param type="hierAlign" val="lCtrCh"/>
                      </dgm:alg>
                    </dgm:if>
                    <dgm:else name="Name18">
                      <dgm:alg type="hierRoot">
                        <dgm:param type="hierAlign" val="rCtrCh"/>
                      </dgm:alg>
                    </dgm:else>
                  </dgm:choose>
                  <dgm:shape xmlns:r="http://schemas.openxmlformats.org/officeDocument/2006/relationships" r:blip="">
                    <dgm:adjLst/>
                  </dgm:shape>
                  <dgm:presOf/>
                  <dgm:constrLst/>
                  <dgm:ruleLst/>
                  <dgm:layoutNode name="LevelTwoTextNode">
                    <dgm:varLst>
                      <dgm:chPref val="3"/>
                    </dgm:varLst>
                    <dgm:alg type="tx"/>
                    <dgm:shape xmlns:r="http://schemas.openxmlformats.org/officeDocument/2006/relationships" type="roundRect" r:blip="">
                      <dgm:adjLst>
                        <dgm:adj idx="1" val="0.1"/>
                      </dgm:adjLst>
                    </dgm:shape>
                    <dgm:presOf axis="self"/>
                    <dgm:constrLst>
                      <dgm:constr type="tMarg" refType="primFontSz" fact="0.05"/>
                      <dgm:constr type="bMarg" refType="primFontSz" fact="0.05"/>
                      <dgm:constr type="lMarg" refType="primFontSz" fact="0.05"/>
                      <dgm:constr type="rMarg" refType="primFontSz" fact="0.05"/>
                    </dgm:constrLst>
                    <dgm:ruleLst>
                      <dgm:rule type="primFontSz" val="5" fact="NaN" max="NaN"/>
                    </dgm:ruleLst>
                  </dgm:layoutNode>
                  <dgm:layoutNode name="level3hierChild">
                    <dgm:choose name="Name19">
                      <dgm:if name="Name20" func="var" arg="dir" op="equ" val="norm">
                        <dgm:alg type="hierChild">
                          <dgm:param type="linDir" val="fromT"/>
                          <dgm:param type="chAlign" val="l"/>
                        </dgm:alg>
                      </dgm:if>
                      <dgm:else name="Name21">
                        <dgm:alg type="hierChild">
                          <dgm:param type="linDir" val="fromT"/>
                          <dgm:param type="chAlign" val="r"/>
                        </dgm:alg>
                      </dgm:else>
                    </dgm:choose>
                    <dgm:shape xmlns:r="http://schemas.openxmlformats.org/officeDocument/2006/relationships" r:blip="">
                      <dgm:adjLst/>
                    </dgm:shape>
                    <dgm:presOf/>
                    <dgm:constrLst/>
                    <dgm:ruleLst/>
                    <dgm:forEach name="Name22" ref="repeat"/>
                  </dgm:layoutNode>
                </dgm:layoutNode>
              </dgm:forEach>
            </dgm:forEach>
          </dgm:layoutNode>
        </dgm:layoutNode>
      </dgm:forEach>
    </dgm:forEach>
  </dgm:layoutNode>
</dgm:layoutDef>
</file>

<file path=xl/diagrams/quickStyle1.xml><?xml version="1.0" encoding="utf-8"?>
<dgm:styleDef xmlns:dgm="http://schemas.openxmlformats.org/drawingml/2006/diagram" xmlns:a="http://schemas.openxmlformats.org/drawingml/2006/main" uniqueId="urn:microsoft.com/office/officeart/2005/8/quickstyle/simple1">
  <dgm:title val=""/>
  <dgm:desc val=""/>
  <dgm:catLst>
    <dgm:cat type="simple" pri="10100"/>
  </dgm:catLst>
  <dgm:scene3d>
    <a:camera prst="orthographicFront"/>
    <a:lightRig rig="threePt" dir="t"/>
  </dgm:scene3d>
  <dgm:styleLbl name="node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l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vennNode1">
    <dgm:scene3d>
      <a:camera prst="orthographicFront"/>
      <a:lightRig rig="threePt" dir="t"/>
    </dgm:scene3d>
    <dgm:sp3d/>
    <dgm:txPr/>
    <dgm:style>
      <a:lnRef idx="2">
        <a:scrgbClr r="0" g="0" b="0"/>
      </a:lnRef>
      <a:fillRef idx="1">
        <a:scrgbClr r="0" g="0" b="0"/>
      </a:fillRef>
      <a:effectRef idx="0">
        <a:scrgbClr r="0" g="0" b="0"/>
      </a:effectRef>
      <a:fontRef idx="minor">
        <a:schemeClr val="tx1"/>
      </a:fontRef>
    </dgm:style>
  </dgm:styleLbl>
  <dgm:styleLbl name="align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node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f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ImgPlac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f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bgSibTrans2D1">
    <dgm:scene3d>
      <a:camera prst="orthographicFront"/>
      <a:lightRig rig="threePt" dir="t"/>
    </dgm:scene3d>
    <dgm:sp3d/>
    <dgm:txPr/>
    <dgm:style>
      <a:lnRef idx="0">
        <a:scrgbClr r="0" g="0" b="0"/>
      </a:lnRef>
      <a:fillRef idx="1">
        <a:scrgbClr r="0" g="0" b="0"/>
      </a:fillRef>
      <a:effectRef idx="0">
        <a:scrgbClr r="0" g="0" b="0"/>
      </a:effectRef>
      <a:fontRef idx="minor">
        <a:schemeClr val="lt1"/>
      </a:fontRef>
    </dgm:style>
  </dgm:styleLbl>
  <dgm:styleLbl name="sibTrans1D1">
    <dgm:scene3d>
      <a:camera prst="orthographicFront"/>
      <a:lightRig rig="threePt" dir="t"/>
    </dgm:scene3d>
    <dgm:sp3d/>
    <dgm:txPr/>
    <dgm:style>
      <a:lnRef idx="1">
        <a:scrgbClr r="0" g="0" b="0"/>
      </a:lnRef>
      <a:fillRef idx="0">
        <a:scrgbClr r="0" g="0" b="0"/>
      </a:fillRef>
      <a:effectRef idx="0">
        <a:scrgbClr r="0" g="0" b="0"/>
      </a:effectRef>
      <a:fontRef idx="minor"/>
    </dgm:style>
  </dgm:styleLbl>
  <dgm:styleLbl name="callout">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sst0">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asst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1">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2">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3">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2D4">
    <dgm:scene3d>
      <a:camera prst="orthographicFront"/>
      <a:lightRig rig="threePt" dir="t"/>
    </dgm:scene3d>
    <dgm:sp3d/>
    <dgm:txPr/>
    <dgm:style>
      <a:lnRef idx="2">
        <a:scrgbClr r="0" g="0" b="0"/>
      </a:lnRef>
      <a:fillRef idx="1">
        <a:scrgbClr r="0" g="0" b="0"/>
      </a:fillRef>
      <a:effectRef idx="0">
        <a:scrgbClr r="0" g="0" b="0"/>
      </a:effectRef>
      <a:fontRef idx="minor">
        <a:schemeClr val="lt1"/>
      </a:fontRef>
    </dgm:style>
  </dgm:styleLbl>
  <dgm:styleLbl name="parChTrans1D1">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2">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3">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parChTrans1D4">
    <dgm:scene3d>
      <a:camera prst="orthographicFront"/>
      <a:lightRig rig="threePt" dir="t"/>
    </dgm:scene3d>
    <dgm:sp3d/>
    <dgm:txPr/>
    <dgm:style>
      <a:lnRef idx="2">
        <a:scrgbClr r="0" g="0" b="0"/>
      </a:lnRef>
      <a:fillRef idx="0">
        <a:scrgbClr r="0" g="0" b="0"/>
      </a:fillRef>
      <a:effectRef idx="0">
        <a:scrgbClr r="0" g="0" b="0"/>
      </a:effectRef>
      <a:fontRef idx="minor"/>
    </dgm:style>
  </dgm:styleLbl>
  <dgm:styleLbl name="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con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trAlignAcc1">
    <dgm:scene3d>
      <a:camera prst="orthographicFront"/>
      <a:lightRig rig="threePt" dir="t"/>
    </dgm:scene3d>
    <dgm:sp3d/>
    <dgm:txPr/>
    <dgm:style>
      <a:lnRef idx="1">
        <a:scrgbClr r="0" g="0" b="0"/>
      </a:lnRef>
      <a:fillRef idx="1">
        <a:scrgbClr r="0" g="0" b="0"/>
      </a:fillRef>
      <a:effectRef idx="0">
        <a:scrgbClr r="0" g="0" b="0"/>
      </a:effectRef>
      <a:fontRef idx="minor"/>
    </dgm:style>
  </dgm:styleLbl>
  <dgm:styleLbl name="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F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Align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solidBgAcc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align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AccFollowNode1">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0">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2">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3">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fgAcc4">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dk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trBgShp">
    <dgm:scene3d>
      <a:camera prst="orthographicFront"/>
      <a:lightRig rig="threePt" dir="t"/>
    </dgm:scene3d>
    <dgm:sp3d/>
    <dgm:txPr/>
    <dgm:style>
      <a:lnRef idx="0">
        <a:scrgbClr r="0" g="0" b="0"/>
      </a:lnRef>
      <a:fillRef idx="1">
        <a:scrgbClr r="0" g="0" b="0"/>
      </a:fillRef>
      <a:effectRef idx="0">
        <a:scrgbClr r="0" g="0" b="0"/>
      </a:effectRef>
      <a:fontRef idx="minor"/>
    </dgm:style>
  </dgm:styleLbl>
  <dgm:styleLbl name="fgShp">
    <dgm:scene3d>
      <a:camera prst="orthographicFront"/>
      <a:lightRig rig="threePt" dir="t"/>
    </dgm:scene3d>
    <dgm:sp3d/>
    <dgm:txPr/>
    <dgm:style>
      <a:lnRef idx="2">
        <a:scrgbClr r="0" g="0" b="0"/>
      </a:lnRef>
      <a:fillRef idx="1">
        <a:scrgbClr r="0" g="0" b="0"/>
      </a:fillRef>
      <a:effectRef idx="0">
        <a:scrgbClr r="0" g="0" b="0"/>
      </a:effectRef>
      <a:fontRef idx="minor"/>
    </dgm:style>
  </dgm:styleLbl>
  <dgm:styleLbl name="revTx">
    <dgm:scene3d>
      <a:camera prst="orthographicFront"/>
      <a:lightRig rig="threePt" dir="t"/>
    </dgm:scene3d>
    <dgm:sp3d/>
    <dgm:txPr/>
    <dgm:style>
      <a:lnRef idx="0">
        <a:scrgbClr r="0" g="0" b="0"/>
      </a:lnRef>
      <a:fillRef idx="0">
        <a:scrgbClr r="0" g="0" b="0"/>
      </a:fillRef>
      <a:effectRef idx="0">
        <a:scrgbClr r="0" g="0" b="0"/>
      </a:effectRef>
      <a:fontRef idx="minor"/>
    </dgm:style>
  </dgm:styleLbl>
</dgm:styleDef>
</file>

<file path=xl/drawings/_rels/drawing2.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3" Type="http://schemas.openxmlformats.org/officeDocument/2006/relationships/chart" Target="../charts/chart4.xml"/><Relationship Id="rId2" Type="http://schemas.openxmlformats.org/officeDocument/2006/relationships/chart" Target="../charts/chart3.xml"/><Relationship Id="rId1" Type="http://schemas.microsoft.com/office/2014/relationships/chartEx" Target="../charts/chartEx1.xml"/></Relationships>
</file>

<file path=xl/drawings/_rels/drawing4.xml.rels><?xml version="1.0" encoding="UTF-8" standalone="yes"?>
<Relationships xmlns="http://schemas.openxmlformats.org/package/2006/relationships"><Relationship Id="rId3" Type="http://schemas.openxmlformats.org/officeDocument/2006/relationships/chart" Target="../charts/chart5.xml"/><Relationship Id="rId2" Type="http://schemas.microsoft.com/office/2014/relationships/chartEx" Target="../charts/chartEx3.xml"/><Relationship Id="rId1" Type="http://schemas.microsoft.com/office/2014/relationships/chartEx" Target="../charts/chartEx2.xml"/><Relationship Id="rId4" Type="http://schemas.openxmlformats.org/officeDocument/2006/relationships/chart" Target="../charts/chart6.xml"/></Relationships>
</file>

<file path=xl/drawings/_rels/drawing5.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microsoft.com/office/2014/relationships/chartEx" Target="../charts/chartEx4.xml"/></Relationships>
</file>

<file path=xl/drawings/_rels/drawing6.xml.rels><?xml version="1.0" encoding="UTF-8" standalone="yes"?>
<Relationships xmlns="http://schemas.openxmlformats.org/package/2006/relationships"><Relationship Id="rId1" Type="http://schemas.microsoft.com/office/2014/relationships/chartEx" Target="../charts/chartEx5.xml"/></Relationships>
</file>

<file path=xl/drawings/_rels/drawing7.xml.rels><?xml version="1.0" encoding="UTF-8" standalone="yes"?>
<Relationships xmlns="http://schemas.openxmlformats.org/package/2006/relationships"><Relationship Id="rId3" Type="http://schemas.openxmlformats.org/officeDocument/2006/relationships/chart" Target="../charts/chart11.xml"/><Relationship Id="rId2" Type="http://schemas.openxmlformats.org/officeDocument/2006/relationships/chart" Target="../charts/chart10.xml"/><Relationship Id="rId1" Type="http://schemas.openxmlformats.org/officeDocument/2006/relationships/chart" Target="../charts/chart9.xml"/></Relationships>
</file>

<file path=xl/drawings/_rels/drawing9.xml.rels><?xml version="1.0" encoding="UTF-8" standalone="yes"?>
<Relationships xmlns="http://schemas.openxmlformats.org/package/2006/relationships"><Relationship Id="rId3" Type="http://schemas.openxmlformats.org/officeDocument/2006/relationships/diagramQuickStyle" Target="../diagrams/quickStyle1.xml"/><Relationship Id="rId2" Type="http://schemas.openxmlformats.org/officeDocument/2006/relationships/diagramLayout" Target="../diagrams/layout1.xml"/><Relationship Id="rId1" Type="http://schemas.openxmlformats.org/officeDocument/2006/relationships/diagramData" Target="../diagrams/data1.xml"/><Relationship Id="rId5" Type="http://schemas.microsoft.com/office/2007/relationships/diagramDrawing" Target="../diagrams/drawing1.xml"/><Relationship Id="rId4" Type="http://schemas.openxmlformats.org/officeDocument/2006/relationships/diagramColors" Target="../diagrams/colors1.xml"/></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571500</xdr:colOff>
          <xdr:row>8</xdr:row>
          <xdr:rowOff>177800</xdr:rowOff>
        </xdr:from>
        <xdr:to>
          <xdr:col>3</xdr:col>
          <xdr:colOff>0</xdr:colOff>
          <xdr:row>10</xdr:row>
          <xdr:rowOff>12700</xdr:rowOff>
        </xdr:to>
        <xdr:sp macro="" textlink="">
          <xdr:nvSpPr>
            <xdr:cNvPr id="1040" name="Drop Down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304800</xdr:colOff>
          <xdr:row>9</xdr:row>
          <xdr:rowOff>12700</xdr:rowOff>
        </xdr:from>
        <xdr:to>
          <xdr:col>4</xdr:col>
          <xdr:colOff>2463800</xdr:colOff>
          <xdr:row>10</xdr:row>
          <xdr:rowOff>12700</xdr:rowOff>
        </xdr:to>
        <xdr:sp macro="" textlink="">
          <xdr:nvSpPr>
            <xdr:cNvPr id="1051" name="Drop Down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15</xdr:col>
      <xdr:colOff>546100</xdr:colOff>
      <xdr:row>3</xdr:row>
      <xdr:rowOff>190500</xdr:rowOff>
    </xdr:from>
    <xdr:to>
      <xdr:col>22</xdr:col>
      <xdr:colOff>787400</xdr:colOff>
      <xdr:row>25</xdr:row>
      <xdr:rowOff>63500</xdr:rowOff>
    </xdr:to>
    <xdr:graphicFrame macro="">
      <xdr:nvGraphicFramePr>
        <xdr:cNvPr id="2" name="Chart 1">
          <a:extLst>
            <a:ext uri="{FF2B5EF4-FFF2-40B4-BE49-F238E27FC236}">
              <a16:creationId xmlns:a16="http://schemas.microsoft.com/office/drawing/2014/main" id="{00000000-0008-0000-02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15</xdr:col>
      <xdr:colOff>577850</xdr:colOff>
      <xdr:row>25</xdr:row>
      <xdr:rowOff>368300</xdr:rowOff>
    </xdr:from>
    <xdr:to>
      <xdr:col>21</xdr:col>
      <xdr:colOff>196850</xdr:colOff>
      <xdr:row>37</xdr:row>
      <xdr:rowOff>38100</xdr:rowOff>
    </xdr:to>
    <xdr:graphicFrame macro="">
      <xdr:nvGraphicFramePr>
        <xdr:cNvPr id="7" name="Chart 6">
          <a:extLst>
            <a:ext uri="{FF2B5EF4-FFF2-40B4-BE49-F238E27FC236}">
              <a16:creationId xmlns:a16="http://schemas.microsoft.com/office/drawing/2014/main" id="{00000000-0008-0000-0200-00000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10</xdr:col>
      <xdr:colOff>180123</xdr:colOff>
      <xdr:row>40</xdr:row>
      <xdr:rowOff>194526</xdr:rowOff>
    </xdr:from>
    <xdr:to>
      <xdr:col>17</xdr:col>
      <xdr:colOff>1262255</xdr:colOff>
      <xdr:row>67</xdr:row>
      <xdr:rowOff>5887</xdr:rowOff>
    </xdr:to>
    <mc:AlternateContent xmlns:mc="http://schemas.openxmlformats.org/markup-compatibility/2006">
      <mc:Choice xmlns:cx6="http://schemas.microsoft.com/office/drawing/2016/5/12/chartex" Requires="cx6">
        <xdr:graphicFrame macro="">
          <xdr:nvGraphicFramePr>
            <xdr:cNvPr id="2" name="Chart 1">
              <a:extLst>
                <a:ext uri="{FF2B5EF4-FFF2-40B4-BE49-F238E27FC236}">
                  <a16:creationId xmlns:a16="http://schemas.microsoft.com/office/drawing/2014/main" id="{00000000-0008-0000-0300-000002000000}"/>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xfrm>
              <a:off x="12422923" y="9033726"/>
              <a:ext cx="9921332" cy="5297761"/>
            </a:xfrm>
            <a:prstGeom prst="rect">
              <a:avLst/>
            </a:prstGeom>
            <a:solidFill>
              <a:prstClr val="white"/>
            </a:solidFill>
            <a:ln w="1">
              <a:solidFill>
                <a:prstClr val="green"/>
              </a:solidFill>
            </a:ln>
          </xdr:spPr>
          <xdr:txBody>
            <a:bodyPr vertOverflow="clip" horzOverflow="clip"/>
            <a:lstStyle/>
            <a:p>
              <a:r>
                <a:rPr lang="en-US" sz="1100"/>
                <a:t>This chart isn't available in your version of Excel.
Editing this shape or saving this workbook into a different file format will permanently break the chart.</a:t>
              </a:r>
            </a:p>
          </xdr:txBody>
        </xdr:sp>
      </mc:Fallback>
    </mc:AlternateContent>
    <xdr:clientData/>
  </xdr:twoCellAnchor>
  <xdr:twoCellAnchor>
    <xdr:from>
      <xdr:col>0</xdr:col>
      <xdr:colOff>377902</xdr:colOff>
      <xdr:row>40</xdr:row>
      <xdr:rowOff>22301</xdr:rowOff>
    </xdr:from>
    <xdr:to>
      <xdr:col>8</xdr:col>
      <xdr:colOff>542073</xdr:colOff>
      <xdr:row>58</xdr:row>
      <xdr:rowOff>123902</xdr:rowOff>
    </xdr:to>
    <xdr:graphicFrame macro="">
      <xdr:nvGraphicFramePr>
        <xdr:cNvPr id="3" name="Chart 2">
          <a:extLst>
            <a:ext uri="{FF2B5EF4-FFF2-40B4-BE49-F238E27FC236}">
              <a16:creationId xmlns:a16="http://schemas.microsoft.com/office/drawing/2014/main" id="{00000000-0008-0000-03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418171</xdr:colOff>
      <xdr:row>59</xdr:row>
      <xdr:rowOff>170366</xdr:rowOff>
    </xdr:from>
    <xdr:to>
      <xdr:col>9</xdr:col>
      <xdr:colOff>898292</xdr:colOff>
      <xdr:row>78</xdr:row>
      <xdr:rowOff>70625</xdr:rowOff>
    </xdr:to>
    <xdr:graphicFrame macro="">
      <xdr:nvGraphicFramePr>
        <xdr:cNvPr id="4" name="Chart 3">
          <a:extLst>
            <a:ext uri="{FF2B5EF4-FFF2-40B4-BE49-F238E27FC236}">
              <a16:creationId xmlns:a16="http://schemas.microsoft.com/office/drawing/2014/main" id="{00000000-0008-0000-03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8</xdr:col>
      <xdr:colOff>266523</xdr:colOff>
      <xdr:row>41</xdr:row>
      <xdr:rowOff>126293</xdr:rowOff>
    </xdr:from>
    <xdr:to>
      <xdr:col>16</xdr:col>
      <xdr:colOff>1556633</xdr:colOff>
      <xdr:row>64</xdr:row>
      <xdr:rowOff>35276</xdr:rowOff>
    </xdr:to>
    <mc:AlternateContent xmlns:mc="http://schemas.openxmlformats.org/markup-compatibility/2006">
      <mc:Choice xmlns:cx6="http://schemas.microsoft.com/office/drawing/2016/5/12/chartex" Requires="cx6">
        <xdr:graphicFrame macro="">
          <xdr:nvGraphicFramePr>
            <xdr:cNvPr id="2" name="Chart 1">
              <a:extLst>
                <a:ext uri="{FF2B5EF4-FFF2-40B4-BE49-F238E27FC236}">
                  <a16:creationId xmlns:a16="http://schemas.microsoft.com/office/drawing/2014/main" id="{00000000-0008-0000-0600-000002000000}"/>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xfrm>
              <a:off x="10617023" y="9676693"/>
              <a:ext cx="9722910" cy="4582583"/>
            </a:xfrm>
            <a:prstGeom prst="rect">
              <a:avLst/>
            </a:prstGeom>
            <a:solidFill>
              <a:prstClr val="white"/>
            </a:solidFill>
            <a:ln w="1">
              <a:solidFill>
                <a:prstClr val="green"/>
              </a:solidFill>
            </a:ln>
          </xdr:spPr>
          <xdr:txBody>
            <a:bodyPr vertOverflow="clip" horzOverflow="clip"/>
            <a:lstStyle/>
            <a:p>
              <a:r>
                <a:rPr lang="en-US" sz="1100"/>
                <a:t>This chart isn't available in your version of Excel.
Editing this shape or saving this workbook into a different file format will permanently break the chart.</a:t>
              </a:r>
            </a:p>
          </xdr:txBody>
        </xdr:sp>
      </mc:Fallback>
    </mc:AlternateContent>
    <xdr:clientData/>
  </xdr:twoCellAnchor>
  <xdr:twoCellAnchor>
    <xdr:from>
      <xdr:col>16</xdr:col>
      <xdr:colOff>1792111</xdr:colOff>
      <xdr:row>41</xdr:row>
      <xdr:rowOff>99482</xdr:rowOff>
    </xdr:from>
    <xdr:to>
      <xdr:col>27</xdr:col>
      <xdr:colOff>358600</xdr:colOff>
      <xdr:row>64</xdr:row>
      <xdr:rowOff>8465</xdr:rowOff>
    </xdr:to>
    <mc:AlternateContent xmlns:mc="http://schemas.openxmlformats.org/markup-compatibility/2006">
      <mc:Choice xmlns:cx6="http://schemas.microsoft.com/office/drawing/2016/5/12/chartex" Requires="cx6">
        <xdr:graphicFrame macro="">
          <xdr:nvGraphicFramePr>
            <xdr:cNvPr id="3" name="Chart 2">
              <a:extLst>
                <a:ext uri="{FF2B5EF4-FFF2-40B4-BE49-F238E27FC236}">
                  <a16:creationId xmlns:a16="http://schemas.microsoft.com/office/drawing/2014/main" id="{00000000-0008-0000-0600-000003000000}"/>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2"/>
            </a:graphicData>
          </a:graphic>
        </xdr:graphicFrame>
      </mc:Choice>
      <mc:Fallback>
        <xdr:sp macro="" textlink="">
          <xdr:nvSpPr>
            <xdr:cNvPr id="0" name=""/>
            <xdr:cNvSpPr>
              <a:spLocks noTextEdit="1"/>
            </xdr:cNvSpPr>
          </xdr:nvSpPr>
          <xdr:spPr>
            <a:xfrm>
              <a:off x="20575411" y="9649882"/>
              <a:ext cx="9437689" cy="4582583"/>
            </a:xfrm>
            <a:prstGeom prst="rect">
              <a:avLst/>
            </a:prstGeom>
            <a:solidFill>
              <a:prstClr val="white"/>
            </a:solidFill>
            <a:ln w="1">
              <a:solidFill>
                <a:prstClr val="green"/>
              </a:solidFill>
            </a:ln>
          </xdr:spPr>
          <xdr:txBody>
            <a:bodyPr vertOverflow="clip" horzOverflow="clip"/>
            <a:lstStyle/>
            <a:p>
              <a:r>
                <a:rPr lang="en-US" sz="1100"/>
                <a:t>This chart isn't available in your version of Excel.
Editing this shape or saving this workbook into a different file format will permanently break the chart.</a:t>
              </a:r>
            </a:p>
          </xdr:txBody>
        </xdr:sp>
      </mc:Fallback>
    </mc:AlternateContent>
    <xdr:clientData/>
  </xdr:twoCellAnchor>
  <xdr:twoCellAnchor>
    <xdr:from>
      <xdr:col>0</xdr:col>
      <xdr:colOff>246944</xdr:colOff>
      <xdr:row>39</xdr:row>
      <xdr:rowOff>110065</xdr:rowOff>
    </xdr:from>
    <xdr:to>
      <xdr:col>7</xdr:col>
      <xdr:colOff>874889</xdr:colOff>
      <xdr:row>56</xdr:row>
      <xdr:rowOff>98776</xdr:rowOff>
    </xdr:to>
    <xdr:graphicFrame macro="">
      <xdr:nvGraphicFramePr>
        <xdr:cNvPr id="6" name="Chart 5">
          <a:extLst>
            <a:ext uri="{FF2B5EF4-FFF2-40B4-BE49-F238E27FC236}">
              <a16:creationId xmlns:a16="http://schemas.microsoft.com/office/drawing/2014/main" id="{00000000-0008-0000-0600-00000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0</xdr:col>
      <xdr:colOff>268111</xdr:colOff>
      <xdr:row>57</xdr:row>
      <xdr:rowOff>169333</xdr:rowOff>
    </xdr:from>
    <xdr:to>
      <xdr:col>7</xdr:col>
      <xdr:colOff>896056</xdr:colOff>
      <xdr:row>75</xdr:row>
      <xdr:rowOff>31044</xdr:rowOff>
    </xdr:to>
    <xdr:graphicFrame macro="">
      <xdr:nvGraphicFramePr>
        <xdr:cNvPr id="7" name="Chart 6">
          <a:extLst>
            <a:ext uri="{FF2B5EF4-FFF2-40B4-BE49-F238E27FC236}">
              <a16:creationId xmlns:a16="http://schemas.microsoft.com/office/drawing/2014/main" id="{00000000-0008-0000-06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8</xdr:col>
      <xdr:colOff>969118</xdr:colOff>
      <xdr:row>42</xdr:row>
      <xdr:rowOff>72101</xdr:rowOff>
    </xdr:from>
    <xdr:to>
      <xdr:col>14</xdr:col>
      <xdr:colOff>240648</xdr:colOff>
      <xdr:row>67</xdr:row>
      <xdr:rowOff>75549</xdr:rowOff>
    </xdr:to>
    <mc:AlternateContent xmlns:mc="http://schemas.openxmlformats.org/markup-compatibility/2006">
      <mc:Choice xmlns:cx6="http://schemas.microsoft.com/office/drawing/2016/5/12/chartex" Requires="cx6">
        <xdr:graphicFrame macro="">
          <xdr:nvGraphicFramePr>
            <xdr:cNvPr id="4" name="Chart 3">
              <a:extLst>
                <a:ext uri="{FF2B5EF4-FFF2-40B4-BE49-F238E27FC236}">
                  <a16:creationId xmlns:a16="http://schemas.microsoft.com/office/drawing/2014/main" id="{00000000-0008-0000-0900-000004000000}"/>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xfrm>
              <a:off x="10925918" y="9317701"/>
              <a:ext cx="5977130" cy="5083448"/>
            </a:xfrm>
            <a:prstGeom prst="rect">
              <a:avLst/>
            </a:prstGeom>
            <a:solidFill>
              <a:prstClr val="white"/>
            </a:solidFill>
            <a:ln w="1">
              <a:solidFill>
                <a:prstClr val="green"/>
              </a:solidFill>
            </a:ln>
          </xdr:spPr>
          <xdr:txBody>
            <a:bodyPr vertOverflow="clip" horzOverflow="clip"/>
            <a:lstStyle/>
            <a:p>
              <a:r>
                <a:rPr lang="en-US" sz="1100"/>
                <a:t>This chart isn't available in your version of Excel.
Editing this shape or saving this workbook into a different file format will permanently break the chart.</a:t>
              </a:r>
            </a:p>
          </xdr:txBody>
        </xdr:sp>
      </mc:Fallback>
    </mc:AlternateContent>
    <xdr:clientData/>
  </xdr:twoCellAnchor>
  <xdr:twoCellAnchor>
    <xdr:from>
      <xdr:col>0</xdr:col>
      <xdr:colOff>474132</xdr:colOff>
      <xdr:row>39</xdr:row>
      <xdr:rowOff>8466</xdr:rowOff>
    </xdr:from>
    <xdr:to>
      <xdr:col>8</xdr:col>
      <xdr:colOff>643466</xdr:colOff>
      <xdr:row>58</xdr:row>
      <xdr:rowOff>203199</xdr:rowOff>
    </xdr:to>
    <xdr:graphicFrame macro="">
      <xdr:nvGraphicFramePr>
        <xdr:cNvPr id="2" name="Chart 1">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457200</xdr:colOff>
      <xdr:row>60</xdr:row>
      <xdr:rowOff>0</xdr:rowOff>
    </xdr:from>
    <xdr:to>
      <xdr:col>8</xdr:col>
      <xdr:colOff>626534</xdr:colOff>
      <xdr:row>79</xdr:row>
      <xdr:rowOff>194733</xdr:rowOff>
    </xdr:to>
    <xdr:graphicFrame macro="">
      <xdr:nvGraphicFramePr>
        <xdr:cNvPr id="3" name="Chart 2">
          <a:extLst>
            <a:ext uri="{FF2B5EF4-FFF2-40B4-BE49-F238E27FC236}">
              <a16:creationId xmlns:a16="http://schemas.microsoft.com/office/drawing/2014/main" id="{00000000-0008-0000-09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xdr:col>
      <xdr:colOff>0</xdr:colOff>
      <xdr:row>40</xdr:row>
      <xdr:rowOff>127000</xdr:rowOff>
    </xdr:from>
    <xdr:to>
      <xdr:col>7</xdr:col>
      <xdr:colOff>495300</xdr:colOff>
      <xdr:row>62</xdr:row>
      <xdr:rowOff>139700</xdr:rowOff>
    </xdr:to>
    <mc:AlternateContent xmlns:mc="http://schemas.openxmlformats.org/markup-compatibility/2006">
      <mc:Choice xmlns:cx6="http://schemas.microsoft.com/office/drawing/2016/5/12/chartex" Requires="cx6">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microsoft.com/office/drawing/2014/chartex">
              <cx:chart xmlns:cx="http://schemas.microsoft.com/office/drawing/2014/chartex" xmlns:r="http://schemas.openxmlformats.org/officeDocument/2006/relationships" r:id="rId1"/>
            </a:graphicData>
          </a:graphic>
        </xdr:graphicFrame>
      </mc:Choice>
      <mc:Fallback>
        <xdr:sp macro="" textlink="">
          <xdr:nvSpPr>
            <xdr:cNvPr id="0" name=""/>
            <xdr:cNvSpPr>
              <a:spLocks noTextEdit="1"/>
            </xdr:cNvSpPr>
          </xdr:nvSpPr>
          <xdr:spPr>
            <a:xfrm>
              <a:off x="2590800" y="8978900"/>
              <a:ext cx="6451600" cy="4483100"/>
            </a:xfrm>
            <a:prstGeom prst="rect">
              <a:avLst/>
            </a:prstGeom>
            <a:solidFill>
              <a:prstClr val="white"/>
            </a:solidFill>
            <a:ln w="1">
              <a:solidFill>
                <a:prstClr val="green"/>
              </a:solidFill>
            </a:ln>
          </xdr:spPr>
          <xdr:txBody>
            <a:bodyPr vertOverflow="clip" horzOverflow="clip"/>
            <a:lstStyle/>
            <a:p>
              <a:r>
                <a:rPr lang="en-US" sz="1100"/>
                <a:t>This chart isn't available in your version of Excel.
Editing this shape or saving this workbook into a different file format will permanently break the chart.</a:t>
              </a:r>
            </a:p>
          </xdr:txBody>
        </xdr:sp>
      </mc:Fallback>
    </mc:AlternateContent>
    <xdr:clientData/>
  </xdr:twoCellAnchor>
</xdr:wsDr>
</file>

<file path=xl/drawings/drawing7.xml><?xml version="1.0" encoding="utf-8"?>
<xdr:wsDr xmlns:xdr="http://schemas.openxmlformats.org/drawingml/2006/spreadsheetDrawing" xmlns:a="http://schemas.openxmlformats.org/drawingml/2006/main">
  <xdr:twoCellAnchor>
    <xdr:from>
      <xdr:col>14</xdr:col>
      <xdr:colOff>222249</xdr:colOff>
      <xdr:row>2</xdr:row>
      <xdr:rowOff>114300</xdr:rowOff>
    </xdr:from>
    <xdr:to>
      <xdr:col>34</xdr:col>
      <xdr:colOff>698500</xdr:colOff>
      <xdr:row>24</xdr:row>
      <xdr:rowOff>165100</xdr:rowOff>
    </xdr:to>
    <xdr:graphicFrame macro="">
      <xdr:nvGraphicFramePr>
        <xdr:cNvPr id="2" name="Chart 1">
          <a:extLst>
            <a:ext uri="{FF2B5EF4-FFF2-40B4-BE49-F238E27FC236}">
              <a16:creationId xmlns:a16="http://schemas.microsoft.com/office/drawing/2014/main" id="{00000000-0008-0000-10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9</xdr:col>
      <xdr:colOff>241300</xdr:colOff>
      <xdr:row>47</xdr:row>
      <xdr:rowOff>165100</xdr:rowOff>
    </xdr:from>
    <xdr:to>
      <xdr:col>27</xdr:col>
      <xdr:colOff>57150</xdr:colOff>
      <xdr:row>70</xdr:row>
      <xdr:rowOff>25400</xdr:rowOff>
    </xdr:to>
    <xdr:graphicFrame macro="">
      <xdr:nvGraphicFramePr>
        <xdr:cNvPr id="3" name="Chart 2">
          <a:extLst>
            <a:ext uri="{FF2B5EF4-FFF2-40B4-BE49-F238E27FC236}">
              <a16:creationId xmlns:a16="http://schemas.microsoft.com/office/drawing/2014/main" id="{00000000-0008-0000-10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228600</xdr:colOff>
      <xdr:row>26</xdr:row>
      <xdr:rowOff>12700</xdr:rowOff>
    </xdr:from>
    <xdr:to>
      <xdr:col>32</xdr:col>
      <xdr:colOff>44450</xdr:colOff>
      <xdr:row>48</xdr:row>
      <xdr:rowOff>76200</xdr:rowOff>
    </xdr:to>
    <xdr:graphicFrame macro="">
      <xdr:nvGraphicFramePr>
        <xdr:cNvPr id="4" name="Chart 3">
          <a:extLst>
            <a:ext uri="{FF2B5EF4-FFF2-40B4-BE49-F238E27FC236}">
              <a16:creationId xmlns:a16="http://schemas.microsoft.com/office/drawing/2014/main" id="{00000000-0008-0000-10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139700</xdr:colOff>
          <xdr:row>3</xdr:row>
          <xdr:rowOff>12700</xdr:rowOff>
        </xdr:from>
        <xdr:to>
          <xdr:col>5</xdr:col>
          <xdr:colOff>482600</xdr:colOff>
          <xdr:row>4</xdr:row>
          <xdr:rowOff>88900</xdr:rowOff>
        </xdr:to>
        <xdr:sp macro="" textlink="">
          <xdr:nvSpPr>
            <xdr:cNvPr id="6150" name="Option Button 6" hidden="1">
              <a:extLst>
                <a:ext uri="{63B3BB69-23CF-44E3-9099-C40C66FF867C}">
                  <a14:compatExt spid="_x0000_s6150"/>
                </a:ext>
                <a:ext uri="{FF2B5EF4-FFF2-40B4-BE49-F238E27FC236}">
                  <a16:creationId xmlns:a16="http://schemas.microsoft.com/office/drawing/2014/main" id="{00000000-0008-0000-1100-00000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020" b="0" i="0" u="none" strike="noStrike" baseline="0">
                  <a:solidFill>
                    <a:srgbClr val="000000"/>
                  </a:solidFill>
                  <a:latin typeface="Aptos Narrow" charset="0"/>
                </a:rPr>
                <a:t>Maintien des infrastructures actuelles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152400</xdr:colOff>
          <xdr:row>3</xdr:row>
          <xdr:rowOff>292100</xdr:rowOff>
        </xdr:from>
        <xdr:to>
          <xdr:col>5</xdr:col>
          <xdr:colOff>355600</xdr:colOff>
          <xdr:row>5</xdr:row>
          <xdr:rowOff>76200</xdr:rowOff>
        </xdr:to>
        <xdr:sp macro="" textlink="">
          <xdr:nvSpPr>
            <xdr:cNvPr id="6151" name="Option Button 7" hidden="1">
              <a:extLst>
                <a:ext uri="{63B3BB69-23CF-44E3-9099-C40C66FF867C}">
                  <a14:compatExt spid="_x0000_s6151"/>
                </a:ext>
                <a:ext uri="{FF2B5EF4-FFF2-40B4-BE49-F238E27FC236}">
                  <a16:creationId xmlns:a16="http://schemas.microsoft.com/office/drawing/2014/main" id="{00000000-0008-0000-11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en-US" sz="1020" b="0" i="0" u="none" strike="noStrike" baseline="0">
                  <a:solidFill>
                    <a:srgbClr val="000000"/>
                  </a:solidFill>
                  <a:latin typeface="Aptos Narrow" charset="0"/>
                </a:rPr>
                <a:t>Expansion/Réduction des infrastructures selon la part modale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139700</xdr:colOff>
          <xdr:row>3</xdr:row>
          <xdr:rowOff>152400</xdr:rowOff>
        </xdr:from>
        <xdr:to>
          <xdr:col>0</xdr:col>
          <xdr:colOff>3022600</xdr:colOff>
          <xdr:row>4</xdr:row>
          <xdr:rowOff>165100</xdr:rowOff>
        </xdr:to>
        <xdr:sp macro="" textlink="">
          <xdr:nvSpPr>
            <xdr:cNvPr id="6163" name="Drop Down 19" hidden="1">
              <a:extLst>
                <a:ext uri="{63B3BB69-23CF-44E3-9099-C40C66FF867C}">
                  <a14:compatExt spid="_x0000_s6163"/>
                </a:ext>
                <a:ext uri="{FF2B5EF4-FFF2-40B4-BE49-F238E27FC236}">
                  <a16:creationId xmlns:a16="http://schemas.microsoft.com/office/drawing/2014/main" id="{00000000-0008-0000-1100-0000131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xdr:twoCellAnchor>
    <xdr:from>
      <xdr:col>4</xdr:col>
      <xdr:colOff>909452</xdr:colOff>
      <xdr:row>2</xdr:row>
      <xdr:rowOff>238968</xdr:rowOff>
    </xdr:from>
    <xdr:to>
      <xdr:col>12</xdr:col>
      <xdr:colOff>948267</xdr:colOff>
      <xdr:row>2</xdr:row>
      <xdr:rowOff>4690532</xdr:rowOff>
    </xdr:to>
    <xdr:graphicFrame macro="">
      <xdr:nvGraphicFramePr>
        <xdr:cNvPr id="2" name="Diagram 1">
          <a:extLst>
            <a:ext uri="{FF2B5EF4-FFF2-40B4-BE49-F238E27FC236}">
              <a16:creationId xmlns:a16="http://schemas.microsoft.com/office/drawing/2014/main" id="{00000000-0008-0000-1200-000002000000}"/>
            </a:ext>
          </a:extLst>
        </xdr:cNvPr>
        <xdr:cNvGraphicFramePr/>
      </xdr:nvGraphicFramePr>
      <xdr:xfrm>
        <a:off x="0" y="0"/>
        <a:ext cx="0" cy="0"/>
      </xdr:xfrm>
      <a:graphic>
        <a:graphicData uri="http://schemas.openxmlformats.org/drawingml/2006/diagram">
          <dgm:relIds xmlns:dgm="http://schemas.openxmlformats.org/drawingml/2006/diagram" xmlns:r="http://schemas.openxmlformats.org/officeDocument/2006/relationships" r:dm="rId1" r:lo="rId2" r:qs="rId3" r:cs="rId4"/>
        </a:graphicData>
      </a:graphic>
    </xdr:graphicFrame>
    <xdr:clientData/>
  </xdr:twoCellAnchor>
</xdr:wsDr>
</file>

<file path=xl/richData/_rels/rdRichValueWebImage.xml.rels><?xml version="1.0" encoding="UTF-8" standalone="yes"?>
<Relationships xmlns="http://schemas.openxmlformats.org/package/2006/relationships"><Relationship Id="rId26" Type="http://schemas.openxmlformats.org/officeDocument/2006/relationships/hyperlink" Target="https://www.bing.com/images/search?form=xlimg&amp;q=Mount%20Royal,%20Quebec" TargetMode="External"/><Relationship Id="rId21" Type="http://schemas.openxmlformats.org/officeDocument/2006/relationships/hyperlink" Target="https://www.bing.com/th?id=OSK.773a2737f4a86fd3a2508ff448969cd2&amp;qlt=95" TargetMode="External"/><Relationship Id="rId42" Type="http://schemas.openxmlformats.org/officeDocument/2006/relationships/hyperlink" Target="https://www.bing.com/images/search?form=xlimg&amp;q=L'%c3%8ele-Bizard%e2%80%93Sainte-Genevi%c3%a8ve" TargetMode="External"/><Relationship Id="rId47" Type="http://schemas.openxmlformats.org/officeDocument/2006/relationships/hyperlink" Target="https://www.bing.com/th?id=OSK.e43d2a6190babe108c45e6dddd451ded&amp;qlt=95" TargetMode="External"/><Relationship Id="rId63" Type="http://schemas.openxmlformats.org/officeDocument/2006/relationships/hyperlink" Target="https://www.bing.com/th?id=OSK.c103bcb38716b8a04048749f37285807&amp;qlt=95" TargetMode="External"/><Relationship Id="rId68" Type="http://schemas.openxmlformats.org/officeDocument/2006/relationships/hyperlink" Target="https://www.bing.com/images/search?form=xlimg&amp;q=Verdun,%20Quebec" TargetMode="External"/><Relationship Id="rId7" Type="http://schemas.openxmlformats.org/officeDocument/2006/relationships/hyperlink" Target="https://www.bing.com/th?id=OSK.93256454773f899c19b86f4f836edbb0&amp;qlt=95" TargetMode="External"/><Relationship Id="rId71" Type="http://schemas.openxmlformats.org/officeDocument/2006/relationships/hyperlink" Target="https://www.bing.com/th?id=OSK.492bf6efb0dc99c5a91fe3ccc1a79404&amp;qlt=95" TargetMode="External"/><Relationship Id="rId2" Type="http://schemas.openxmlformats.org/officeDocument/2006/relationships/hyperlink" Target="https://www.bing.com/images/search?form=xlimg&amp;q=Baie-D'Urf%c3%a9" TargetMode="External"/><Relationship Id="rId16" Type="http://schemas.openxmlformats.org/officeDocument/2006/relationships/hyperlink" Target="https://www.bing.com/images/search?form=xlimg&amp;q=Dorval" TargetMode="External"/><Relationship Id="rId29" Type="http://schemas.openxmlformats.org/officeDocument/2006/relationships/hyperlink" Target="https://www.bing.com/th?id=OSK.93a192336312a3883820cba158b40fde&amp;qlt=95" TargetMode="External"/><Relationship Id="rId11" Type="http://schemas.openxmlformats.org/officeDocument/2006/relationships/hyperlink" Target="https://www.bing.com/th?id=OSK.1da1fdea9a7c8ead81c2b364e1f49bcd&amp;qlt=95" TargetMode="External"/><Relationship Id="rId24" Type="http://schemas.openxmlformats.org/officeDocument/2006/relationships/hyperlink" Target="https://www.bing.com/images/search?form=xlimg&amp;q=Montreal%20West,%20Quebec" TargetMode="External"/><Relationship Id="rId32" Type="http://schemas.openxmlformats.org/officeDocument/2006/relationships/hyperlink" Target="https://www.bing.com/images/search?form=xlimg&amp;q=Senneville,%20Quebec" TargetMode="External"/><Relationship Id="rId37" Type="http://schemas.openxmlformats.org/officeDocument/2006/relationships/hyperlink" Target="https://www.bing.com/th?id=OSK.cd218e1cfdea7c5d556a8875649253a6&amp;qlt=95" TargetMode="External"/><Relationship Id="rId40" Type="http://schemas.openxmlformats.org/officeDocument/2006/relationships/hyperlink" Target="https://www.bing.com/images/search?form=xlimg&amp;q=C%c3%b4te-des-Neiges%e2%80%93Notre-Dame-de-Gr%c3%a2ce" TargetMode="External"/><Relationship Id="rId45" Type="http://schemas.openxmlformats.org/officeDocument/2006/relationships/hyperlink" Target="https://www.bing.com/th?id=OSK.f896b4c1371fe48dadeb1f9fc5595e99&amp;qlt=95" TargetMode="External"/><Relationship Id="rId53" Type="http://schemas.openxmlformats.org/officeDocument/2006/relationships/hyperlink" Target="https://www.bing.com/th?id=OSK.835c697867e77cb90c4b7cdae07874cb&amp;qlt=95" TargetMode="External"/><Relationship Id="rId58" Type="http://schemas.openxmlformats.org/officeDocument/2006/relationships/hyperlink" Target="https://www.bing.com/images/search?form=xlimg&amp;q=Rivi%c3%a8re-des-Prairies%e2%80%93Pointe-aux-Trembles" TargetMode="External"/><Relationship Id="rId66" Type="http://schemas.openxmlformats.org/officeDocument/2006/relationships/hyperlink" Target="https://www.bing.com/images/search?form=xlimg&amp;q=Le%20Sud-Ouest" TargetMode="External"/><Relationship Id="rId5" Type="http://schemas.openxmlformats.org/officeDocument/2006/relationships/hyperlink" Target="https://www.bing.com/th?id=OSK.a5778b355b8733eacf17e05a7428ce29&amp;qlt=95" TargetMode="External"/><Relationship Id="rId61" Type="http://schemas.openxmlformats.org/officeDocument/2006/relationships/hyperlink" Target="https://www.bing.com/th?id=OSK.c155b7391179a423f5fde1f781dcc91d&amp;qlt=95" TargetMode="External"/><Relationship Id="rId19" Type="http://schemas.openxmlformats.org/officeDocument/2006/relationships/hyperlink" Target="https://www.bing.com/th?id=OSK.224a6d3672681e97f6c1894a244f2958&amp;qlt=95" TargetMode="External"/><Relationship Id="rId14" Type="http://schemas.openxmlformats.org/officeDocument/2006/relationships/hyperlink" Target="https://www.bing.com/images/search?form=xlimg&amp;q=Dollard-des-Ormeaux" TargetMode="External"/><Relationship Id="rId22" Type="http://schemas.openxmlformats.org/officeDocument/2006/relationships/hyperlink" Target="https://www.bing.com/images/search?form=xlimg&amp;q=Montr%c3%a9al-Est,%20Quebec" TargetMode="External"/><Relationship Id="rId27" Type="http://schemas.openxmlformats.org/officeDocument/2006/relationships/hyperlink" Target="https://www.bing.com/th?id=OSK.a745f21391f54a850379ac5eb1491c1c&amp;qlt=95" TargetMode="External"/><Relationship Id="rId30" Type="http://schemas.openxmlformats.org/officeDocument/2006/relationships/hyperlink" Target="https://www.bing.com/images/search?form=xlimg&amp;q=Sainte-Anne-de-Bellevue" TargetMode="External"/><Relationship Id="rId35" Type="http://schemas.openxmlformats.org/officeDocument/2006/relationships/hyperlink" Target="https://www.bing.com/th?id=OSK.243ddd713817b44fcaee30a0202aec0b&amp;qlt=95" TargetMode="External"/><Relationship Id="rId43" Type="http://schemas.openxmlformats.org/officeDocument/2006/relationships/hyperlink" Target="https://www.bing.com/th?id=OSK.e6edffd4c93e5ba0674c37ff97b04c57&amp;qlt=95" TargetMode="External"/><Relationship Id="rId48" Type="http://schemas.openxmlformats.org/officeDocument/2006/relationships/hyperlink" Target="https://www.bing.com/images/search?form=xlimg&amp;q=Mercier%e2%80%93Hochelaga-Maisonneuve" TargetMode="External"/><Relationship Id="rId56" Type="http://schemas.openxmlformats.org/officeDocument/2006/relationships/hyperlink" Target="https://www.bing.com/images/search?form=xlimg&amp;q=Le%20Plateau-Mont-Royal" TargetMode="External"/><Relationship Id="rId64" Type="http://schemas.openxmlformats.org/officeDocument/2006/relationships/hyperlink" Target="https://www.bing.com/images/search?form=xlimg&amp;q=Saint-Leonard,%20Quebec" TargetMode="External"/><Relationship Id="rId69" Type="http://schemas.openxmlformats.org/officeDocument/2006/relationships/hyperlink" Target="https://www.bing.com/th?id=OSK.de872c6725d779c6e20fb4812b874b3e&amp;qlt=95" TargetMode="External"/><Relationship Id="rId8" Type="http://schemas.openxmlformats.org/officeDocument/2006/relationships/hyperlink" Target="https://www.bing.com/images/search?form=xlimg&amp;q=Montreal" TargetMode="External"/><Relationship Id="rId51" Type="http://schemas.openxmlformats.org/officeDocument/2006/relationships/hyperlink" Target="https://www.bing.com/th?id=OSK.0a4ee0aca910636dfa7c69899837e55e&amp;qlt=95" TargetMode="External"/><Relationship Id="rId72" Type="http://schemas.openxmlformats.org/officeDocument/2006/relationships/hyperlink" Target="https://www.bing.com/images/search?form=xlimg&amp;q=Villeray%e2%80%93Saint-Michel%e2%80%93Parc-Extension" TargetMode="External"/><Relationship Id="rId3" Type="http://schemas.openxmlformats.org/officeDocument/2006/relationships/hyperlink" Target="https://www.bing.com/th?id=OSK.f2dbd079068622692d8b57832120921d&amp;qlt=95" TargetMode="External"/><Relationship Id="rId12" Type="http://schemas.openxmlformats.org/officeDocument/2006/relationships/hyperlink" Target="https://www.bing.com/images/search?form=xlimg&amp;q=C%c3%b4te%20Saint-Luc" TargetMode="External"/><Relationship Id="rId17" Type="http://schemas.openxmlformats.org/officeDocument/2006/relationships/hyperlink" Target="https://www.bing.com/th?id=OSK.0fc42d7c88ddd7a1150f6ad49bf6a11d&amp;qlt=95" TargetMode="External"/><Relationship Id="rId25" Type="http://schemas.openxmlformats.org/officeDocument/2006/relationships/hyperlink" Target="https://www.bing.com/th?id=OSK.93e1360dfa74ef77c7c2aa90d9b7c8ba&amp;qlt=95" TargetMode="External"/><Relationship Id="rId33" Type="http://schemas.openxmlformats.org/officeDocument/2006/relationships/hyperlink" Target="https://www.bing.com/th?id=OSK.dbed2521f3c204e830d688b6c69d78cc&amp;qlt=95" TargetMode="External"/><Relationship Id="rId38" Type="http://schemas.openxmlformats.org/officeDocument/2006/relationships/hyperlink" Target="https://www.bing.com/images/search?form=xlimg&amp;q=Anjou,%20Quebec" TargetMode="External"/><Relationship Id="rId46" Type="http://schemas.openxmlformats.org/officeDocument/2006/relationships/hyperlink" Target="https://www.bing.com/images/search?form=xlimg&amp;q=LaSalle,%20Quebec" TargetMode="External"/><Relationship Id="rId59" Type="http://schemas.openxmlformats.org/officeDocument/2006/relationships/hyperlink" Target="https://www.bing.com/th?id=OSK.5d77d7d912d7b90cd4b634794f2f7245&amp;qlt=95" TargetMode="External"/><Relationship Id="rId67" Type="http://schemas.openxmlformats.org/officeDocument/2006/relationships/hyperlink" Target="https://www.bing.com/th?id=OSK.fe9940bdb42059894db6ff7f8860317d&amp;qlt=95" TargetMode="External"/><Relationship Id="rId20" Type="http://schemas.openxmlformats.org/officeDocument/2006/relationships/hyperlink" Target="https://www.bing.com/images/search?form=xlimg&amp;q=Kirkland,%20Quebec" TargetMode="External"/><Relationship Id="rId41" Type="http://schemas.openxmlformats.org/officeDocument/2006/relationships/hyperlink" Target="https://www.bing.com/th?id=OSK.6c985d3590219389df824d7d267b663a&amp;qlt=95" TargetMode="External"/><Relationship Id="rId54" Type="http://schemas.openxmlformats.org/officeDocument/2006/relationships/hyperlink" Target="https://www.bing.com/images/search?form=xlimg&amp;q=Pierrefonds-Roxboro" TargetMode="External"/><Relationship Id="rId62" Type="http://schemas.openxmlformats.org/officeDocument/2006/relationships/hyperlink" Target="https://www.bing.com/images/search?form=xlimg&amp;q=Saint-Laurent,%20Quebec" TargetMode="External"/><Relationship Id="rId70" Type="http://schemas.openxmlformats.org/officeDocument/2006/relationships/hyperlink" Target="https://www.bing.com/images/search?form=xlimg&amp;q=Ville-Marie,%20Montreal" TargetMode="External"/><Relationship Id="rId1" Type="http://schemas.openxmlformats.org/officeDocument/2006/relationships/hyperlink" Target="https://www.bing.com/th?id=OSK.1eb4b074c074fd5c4cc95bc8d1abcb9e&amp;qlt=95" TargetMode="External"/><Relationship Id="rId6" Type="http://schemas.openxmlformats.org/officeDocument/2006/relationships/hyperlink" Target="https://www.bing.com/images/search?form=xlimg&amp;q=Quebec" TargetMode="External"/><Relationship Id="rId15" Type="http://schemas.openxmlformats.org/officeDocument/2006/relationships/hyperlink" Target="https://www.bing.com/th?id=OSK.c82edbacea3c728f9d8d40adfcc3ad64&amp;qlt=95" TargetMode="External"/><Relationship Id="rId23" Type="http://schemas.openxmlformats.org/officeDocument/2006/relationships/hyperlink" Target="https://www.bing.com/th?id=OSK.f0308f58fe615af9ada0ad6f54a04992&amp;qlt=95" TargetMode="External"/><Relationship Id="rId28" Type="http://schemas.openxmlformats.org/officeDocument/2006/relationships/hyperlink" Target="https://www.bing.com/images/search?form=xlimg&amp;q=Pointe-Claire" TargetMode="External"/><Relationship Id="rId36" Type="http://schemas.openxmlformats.org/officeDocument/2006/relationships/hyperlink" Target="https://www.bing.com/images/search?form=xlimg&amp;q=Ahuntsic-Cartierville" TargetMode="External"/><Relationship Id="rId49" Type="http://schemas.openxmlformats.org/officeDocument/2006/relationships/hyperlink" Target="https://www.bing.com/th?id=OSK.e0c55747190166509848dc6208a06105&amp;qlt=95" TargetMode="External"/><Relationship Id="rId57" Type="http://schemas.openxmlformats.org/officeDocument/2006/relationships/hyperlink" Target="https://www.bing.com/th?id=OSK.45e0349ad6a8098a64646e5c1822338d&amp;qlt=95" TargetMode="External"/><Relationship Id="rId10" Type="http://schemas.openxmlformats.org/officeDocument/2006/relationships/hyperlink" Target="https://www.bing.com/images/search?form=xlimg&amp;q=Beaconsfield,%20Quebec" TargetMode="External"/><Relationship Id="rId31" Type="http://schemas.openxmlformats.org/officeDocument/2006/relationships/hyperlink" Target="https://www.bing.com/th?id=OSK.b25466cb7630d7daa6d36fd4c5bdf20c&amp;qlt=95" TargetMode="External"/><Relationship Id="rId44" Type="http://schemas.openxmlformats.org/officeDocument/2006/relationships/hyperlink" Target="https://www.bing.com/images/search?form=xlimg&amp;q=Lachine,%20Quebec" TargetMode="External"/><Relationship Id="rId52" Type="http://schemas.openxmlformats.org/officeDocument/2006/relationships/hyperlink" Target="https://www.bing.com/images/search?form=xlimg&amp;q=Outremont,%20Quebec" TargetMode="External"/><Relationship Id="rId60" Type="http://schemas.openxmlformats.org/officeDocument/2006/relationships/hyperlink" Target="https://www.bing.com/images/search?form=xlimg&amp;q=Rosemont%e2%80%93La%20Petite-Patrie" TargetMode="External"/><Relationship Id="rId65" Type="http://schemas.openxmlformats.org/officeDocument/2006/relationships/hyperlink" Target="https://www.bing.com/th?id=OSK.de54ac779707227638eda6ec7f4ec55a&amp;qlt=95" TargetMode="External"/><Relationship Id="rId4" Type="http://schemas.openxmlformats.org/officeDocument/2006/relationships/hyperlink" Target="https://www.bing.com/images/search?form=xlimg&amp;q=Canada" TargetMode="External"/><Relationship Id="rId9" Type="http://schemas.openxmlformats.org/officeDocument/2006/relationships/hyperlink" Target="https://www.bing.com/th?id=OSK.a10ea31b9a5c78b5b9ad57a68b6d3c3d&amp;qlt=95" TargetMode="External"/><Relationship Id="rId13" Type="http://schemas.openxmlformats.org/officeDocument/2006/relationships/hyperlink" Target="https://www.bing.com/th?id=OSK.e04a7863509f085932822cf796603cf8&amp;qlt=95" TargetMode="External"/><Relationship Id="rId18" Type="http://schemas.openxmlformats.org/officeDocument/2006/relationships/hyperlink" Target="https://www.bing.com/images/search?form=xlimg&amp;q=Hampstead,%20Quebec" TargetMode="External"/><Relationship Id="rId39" Type="http://schemas.openxmlformats.org/officeDocument/2006/relationships/hyperlink" Target="https://www.bing.com/th?id=OSK.79e665029ea269e0f4bcc5965b7185bf&amp;qlt=95" TargetMode="External"/><Relationship Id="rId34" Type="http://schemas.openxmlformats.org/officeDocument/2006/relationships/hyperlink" Target="https://www.bing.com/images/search?form=xlimg&amp;q=Westmount" TargetMode="External"/><Relationship Id="rId50" Type="http://schemas.openxmlformats.org/officeDocument/2006/relationships/hyperlink" Target="https://www.bing.com/images/search?form=xlimg&amp;q=Montr%c3%a9al-Nord" TargetMode="External"/><Relationship Id="rId55" Type="http://schemas.openxmlformats.org/officeDocument/2006/relationships/hyperlink" Target="https://www.bing.com/th?id=OSK.0a978b2bfb432436a47a3600aa605bff&amp;qlt=95" TargetMode="External"/></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types>
    <type name="_linkedentity2">
      <keyFlags>
        <key name="%EntityService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cvi">
          <flag name="ShowInCardView" value="0"/>
          <flag name="ShowInDotNotation" value="0"/>
          <flag name="ShowInAutoComplete" value="0"/>
          <flag name="ExcludeFromCalcComparison" value="1"/>
        </key>
      </keyFlags>
    </type>
    <type name="_linkedentity2core">
      <keyFlags>
        <key name="%EntityService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IsRefreshable">
          <flag name="ShowInCardView" value="0"/>
          <flag name="ShowInAutoComplete" value="0"/>
          <flag name="ExcludeFromCalcComparison" value="1"/>
        </key>
        <key name="%ProviderInfo">
          <flag name="ShowInCardView" value="0"/>
          <flag name="ShowInDotNotation" value="0"/>
          <flag name="ShowInAutoComplete" value="0"/>
        </key>
        <key name="%DataProviderExternalLinkLogo">
          <flag name="ShowInCardView" value="0"/>
          <flag name="ShowInDotNotation" value="0"/>
          <flag name="ShowInAutoComplete" value="0"/>
        </key>
        <key name="%DataProviderExternalLink">
          <flag name="ShowInCardView" value="0"/>
          <flag name="ShowInDotNotation" value="0"/>
          <flag name="ShowInAutoComplete" value="0"/>
        </key>
        <key name="%DataRetrievedTime">
          <flag name="ShowInCardView" value="0"/>
          <flag name="ShowInDotNotation" value="0"/>
          <flag name="ShowInAutoComplete" value="0"/>
          <flag name="ExcludeFromCalcComparison" value="1"/>
        </key>
        <key name="%EntityDomainIdString">
          <flag name="ShowInCardView" value="0"/>
          <flag name="ShowInDotNotation" value="0"/>
          <flag name="ShowInAutoComplete" value="0"/>
        </key>
        <key name="%InfoToolTipLabelNames">
          <flag name="ShowInCardView" value="0"/>
          <flag name="ShowInDotNotation" value="0"/>
          <flag name="ShowInAutoComplete" value="0"/>
        </key>
        <key name="%InfoToolTipLabelValues">
          <flag name="ShowInCardView" value="0"/>
          <flag name="ShowInDotNotation" value="0"/>
          <flag name="ShowInAutoComplete" value="0"/>
        </key>
        <key name="%InfoToolTipLabelValuesType">
          <flag name="ShowInCardView" value="0"/>
          <flag name="ShowInDotNotation" value="0"/>
          <flag name="ShowInAutoComplete" value="0"/>
        </key>
        <key name="%DataProviderString">
          <flag name="ShowInCardView" value="0"/>
          <flag name="ShowInDotNotation" value="0"/>
          <flag name="ShowInAutoComplete" value="0"/>
        </key>
        <key name="%ClassificationId">
          <flag name="ShowInCardView" value="0"/>
          <flag name="ShowInDotNotation" value="0"/>
          <flag name="ShowInAutoComplete" value="0"/>
        </key>
        <key name="%OutdatedReason">
          <flag name="ShowInCardView" value="0"/>
          <flag name="ShowInDotNotation" value="0"/>
          <flag name="ShowInAutoComplete" value="0"/>
          <flag name="ExcludeFromCalcComparison" value="1"/>
        </key>
      </keyFlags>
    </type>
    <type name="_webimage">
      <keyFlags>
        <key name="WebImageIdentifier">
          <flag name="ShowInCardView" value="0"/>
        </key>
      </keyFlags>
    </type>
  </types>
</rvTypesInfo>
</file>

<file path=xl/richData/rdRichValueWebImage.xml><?xml version="1.0" encoding="utf-8"?>
<webImagesSrd xmlns="http://schemas.microsoft.com/office/spreadsheetml/2020/richdatawebimage" xmlns:r="http://schemas.openxmlformats.org/officeDocument/2006/relationships">
  <webImageSrd>
    <address r:id="rId1"/>
    <moreImagesAddress r:id="rId2"/>
  </webImageSrd>
  <webImageSrd>
    <address r:id="rId3"/>
    <moreImagesAddress r:id="rId4"/>
  </webImageSrd>
  <webImageSrd>
    <address r:id="rId5"/>
    <moreImagesAddress r:id="rId6"/>
  </webImageSrd>
  <webImageSrd>
    <address r:id="rId7"/>
    <moreImagesAddress r:id="rId8"/>
  </webImageSrd>
  <webImageSrd>
    <address r:id="rId9"/>
    <moreImagesAddress r:id="rId10"/>
  </webImageSrd>
  <webImageSrd>
    <address r:id="rId11"/>
    <moreImagesAddress r:id="rId12"/>
  </webImageSrd>
  <webImageSrd>
    <address r:id="rId13"/>
    <moreImagesAddress r:id="rId14"/>
  </webImageSrd>
  <webImageSrd>
    <address r:id="rId15"/>
    <moreImagesAddress r:id="rId16"/>
  </webImageSrd>
  <webImageSrd>
    <address r:id="rId17"/>
    <moreImagesAddress r:id="rId18"/>
  </webImageSrd>
  <webImageSrd>
    <address r:id="rId19"/>
    <moreImagesAddress r:id="rId20"/>
  </webImageSrd>
  <webImageSrd>
    <address r:id="rId21"/>
    <moreImagesAddress r:id="rId22"/>
  </webImageSrd>
  <webImageSrd>
    <address r:id="rId23"/>
    <moreImagesAddress r:id="rId24"/>
  </webImageSrd>
  <webImageSrd>
    <address r:id="rId25"/>
    <moreImagesAddress r:id="rId26"/>
  </webImageSrd>
  <webImageSrd>
    <address r:id="rId27"/>
    <moreImagesAddress r:id="rId28"/>
  </webImageSrd>
  <webImageSrd>
    <address r:id="rId29"/>
    <moreImagesAddress r:id="rId30"/>
  </webImageSrd>
  <webImageSrd>
    <address r:id="rId31"/>
    <moreImagesAddress r:id="rId32"/>
  </webImageSrd>
  <webImageSrd>
    <address r:id="rId33"/>
    <moreImagesAddress r:id="rId34"/>
  </webImageSrd>
  <webImageSrd>
    <address r:id="rId35"/>
    <moreImagesAddress r:id="rId36"/>
  </webImageSrd>
  <webImageSrd>
    <address r:id="rId37"/>
    <moreImagesAddress r:id="rId38"/>
  </webImageSrd>
  <webImageSrd>
    <address r:id="rId39"/>
    <moreImagesAddress r:id="rId40"/>
  </webImageSrd>
  <webImageSrd>
    <address r:id="rId41"/>
    <moreImagesAddress r:id="rId42"/>
  </webImageSrd>
  <webImageSrd>
    <address r:id="rId43"/>
    <moreImagesAddress r:id="rId44"/>
  </webImageSrd>
  <webImageSrd>
    <address r:id="rId45"/>
    <moreImagesAddress r:id="rId46"/>
  </webImageSrd>
  <webImageSrd>
    <address r:id="rId47"/>
    <moreImagesAddress r:id="rId48"/>
  </webImageSrd>
  <webImageSrd>
    <address r:id="rId49"/>
    <moreImagesAddress r:id="rId50"/>
  </webImageSrd>
  <webImageSrd>
    <address r:id="rId51"/>
    <moreImagesAddress r:id="rId52"/>
  </webImageSrd>
  <webImageSrd>
    <address r:id="rId53"/>
    <moreImagesAddress r:id="rId54"/>
  </webImageSrd>
  <webImageSrd>
    <address r:id="rId55"/>
    <moreImagesAddress r:id="rId56"/>
  </webImageSrd>
  <webImageSrd>
    <address r:id="rId57"/>
    <moreImagesAddress r:id="rId58"/>
  </webImageSrd>
  <webImageSrd>
    <address r:id="rId59"/>
    <moreImagesAddress r:id="rId60"/>
  </webImageSrd>
  <webImageSrd>
    <address r:id="rId61"/>
    <moreImagesAddress r:id="rId62"/>
  </webImageSrd>
  <webImageSrd>
    <address r:id="rId63"/>
    <moreImagesAddress r:id="rId64"/>
  </webImageSrd>
  <webImageSrd>
    <address r:id="rId65"/>
    <moreImagesAddress r:id="rId66"/>
  </webImageSrd>
  <webImageSrd>
    <address r:id="rId67"/>
    <moreImagesAddress r:id="rId68"/>
  </webImageSrd>
  <webImageSrd>
    <address r:id="rId69"/>
    <moreImagesAddress r:id="rId70"/>
  </webImageSrd>
  <webImageSrd>
    <address r:id="rId71"/>
    <moreImagesAddress r:id="rId72"/>
  </webImageSrd>
</webImagesSrd>
</file>

<file path=xl/richData/rdarray.xml><?xml version="1.0" encoding="utf-8"?>
<arrayData xmlns="http://schemas.microsoft.com/office/spreadsheetml/2017/richdata2" count="41">
  <a r="1">
    <v t="r">5</v>
  </a>
  <a r="1">
    <v t="s">Eastern Time Zone</v>
  </a>
  <a r="2">
    <v t="r">32</v>
    <v t="r">33</v>
  </a>
  <a r="2">
    <v t="s">Canadian French</v>
    <v t="s">Canadian English</v>
  </a>
  <a r="13">
    <v t="r">52</v>
    <v t="r">53</v>
    <v t="r">54</v>
    <v t="r">55</v>
    <v t="r">56</v>
    <v t="r">57</v>
    <v t="r">58</v>
    <v t="r">59</v>
    <v t="r">60</v>
    <v t="r">61</v>
    <v t="r">62</v>
    <v t="r">63</v>
    <v t="r">64</v>
  </a>
  <a r="6">
    <v t="s">Newfoundland Time Zone</v>
    <v t="s">Atlantic Time Zone</v>
    <v t="s">Central Time Zone</v>
    <v t="s">Mountain Time Zone</v>
    <v t="s">Pacific Time Zone</v>
    <v t="s">Eastern Time Zone</v>
  </a>
  <a r="2">
    <v t="r">79</v>
    <v t="r">80</v>
  </a>
  <a r="1">
    <v t="s">Quebec French</v>
  </a>
  <a r="2">
    <v t="s">Eastern Time Zone</v>
    <v t="s">Atlantic Time Zone</v>
  </a>
  <a r="1">
    <v t="r">92</v>
  </a>
  <a r="1">
    <v t="r">102</v>
  </a>
  <a r="1">
    <v t="r">112</v>
  </a>
  <a r="1">
    <v t="r">122</v>
  </a>
  <a r="1">
    <v t="r">132</v>
  </a>
  <a r="1">
    <v t="r">142</v>
  </a>
  <a r="1">
    <v t="r">151</v>
  </a>
  <a r="1">
    <v t="r">160</v>
  </a>
  <a r="1">
    <v t="r">170</v>
  </a>
  <a r="1">
    <v t="r">180</v>
  </a>
  <a r="1">
    <v t="r">189</v>
  </a>
  <a r="1">
    <v t="r">198</v>
  </a>
  <a r="1">
    <v t="r">207</v>
  </a>
  <a r="1">
    <v t="r">217</v>
  </a>
  <a r="1">
    <v t="r">227</v>
  </a>
  <a r="1">
    <v t="r">237</v>
  </a>
  <a r="1">
    <v t="r">247</v>
  </a>
  <a r="1">
    <v t="r">257</v>
  </a>
  <a r="1">
    <v t="r">267</v>
  </a>
  <a r="1">
    <v t="s">Nancy Blanchet (Mayor)</v>
  </a>
  <a r="1">
    <v t="s">Pierre Lessard-Blais (Mayor)</v>
  </a>
  <a r="1">
    <v t="r">293</v>
  </a>
  <a r="1">
    <v t="r">303</v>
  </a>
  <a r="1">
    <v t="r">312</v>
  </a>
  <a r="1">
    <v t="r">322</v>
  </a>
  <a r="1">
    <v t="r">332</v>
  </a>
  <a r="1">
    <v t="r">342</v>
  </a>
  <a r="1">
    <v t="r">352</v>
  </a>
  <a r="1">
    <v t="r">362</v>
  </a>
  <a r="1">
    <v t="r">372</v>
  </a>
  <a r="1">
    <v t="r">382</v>
  </a>
  <a r="1">
    <v t="r">399</v>
  </a>
</arrayData>
</file>

<file path=xl/richData/rdrichvalue.xml><?xml version="1.0" encoding="utf-8"?>
<rvData xmlns="http://schemas.microsoft.com/office/spreadsheetml/2017/richdata" count="405">
  <rv s="0">
    <v>536870912</v>
    <v>Baie-D'Urfé</v>
    <v>3fbc238d-5b32-48f5-76d7-243872fc62b0</v>
    <v>en-US</v>
    <v>Map</v>
  </rv>
  <rv s="1">
    <fb>8</fb>
    <v>8</v>
  </rv>
  <rv s="0">
    <v>536870912</v>
    <v>Canada</v>
    <v>370ed614-32e1-4326-a356-dc0a7dd56aaa</v>
    <v>en-US</v>
    <v>Map</v>
  </rv>
  <rv s="2">
    <v>0</v>
    <v>6</v>
    <v>0</v>
    <v>7</v>
    <v>0</v>
    <v>Image of Baie-D'Urfé</v>
  </rv>
  <rv s="1">
    <fb>45.416666666666998</fb>
    <v>9</v>
  </rv>
  <rv s="0">
    <v>805306368</v>
    <v>Heidi Ektvedt (Mayor)</v>
    <v>bb9dd38c-8379-1120-bb9f-38412775b041</v>
    <v>en-US</v>
    <v>Generic</v>
  </rv>
  <rv s="3">
    <v>0</v>
  </rv>
  <rv s="4">
    <v>https://www.bing.com/search?q=baie-d%27urf%c3%a9+quebec+canada&amp;form=skydnc</v>
    <v>Learn more on Bing</v>
  </rv>
  <rv s="1">
    <fb>-73.916666666666998</fb>
    <v>9</v>
  </rv>
  <rv s="1">
    <fb>3889</fb>
    <v>8</v>
  </rv>
  <rv s="3">
    <v>1</v>
  </rv>
  <rv s="5">
    <v>#VALUE!</v>
    <v>1</v>
    <v>2</v>
    <v>Baie-D'Urfé</v>
    <v>4</v>
    <v>5</v>
    <v>Map</v>
    <v>6</v>
    <v>7</v>
    <v>en-US</v>
    <v>3fbc238d-5b32-48f5-76d7-243872fc62b0</v>
    <v>536870912</v>
    <v>1</v>
    <v>1</v>
    <v>2</v>
    <v>Baie-D'Urfé is an on-island suburb of Montreal, Quebec, Canada. It is part of the West Island area of the Island of Montreal. As part of the 2002–2006 municipal reorganization of Montreal, Baie-D'Urfé was merged into the city of Montreal on ...</v>
    <v>3</v>
    <v>4</v>
    <v>6</v>
    <v>7</v>
    <v>8</v>
    <v>Baie-D'Urfé</v>
    <v>9</v>
    <v>10</v>
    <v>Baie-D'Urfé</v>
    <v>mdp/vdpid/5293927752460664833</v>
  </rv>
  <rv s="1">
    <fb>6.8918382450780802E-2</fb>
    <v>29</v>
  </rv>
  <rv s="1">
    <fb>9984670</fb>
    <v>8</v>
  </rv>
  <rv s="1">
    <fb>72000</fb>
    <v>8</v>
  </rv>
  <rv s="1">
    <fb>10.1</fb>
    <v>30</v>
  </rv>
  <rv s="1">
    <fb>1</fb>
    <v>31</v>
  </rv>
  <rv s="0">
    <v>536870912</v>
    <v>Ottawa</v>
    <v>3f2544d2-4937-9101-2f53-621199e253e5</v>
    <v>en-US</v>
    <v>Map</v>
  </rv>
  <rv s="1">
    <fb>544894.19799999997</fb>
    <v>8</v>
  </rv>
  <rv s="1">
    <fb>116.75729822552999</fb>
    <v>32</v>
  </rv>
  <rv s="1">
    <fb>1.9492690241159599E-2</fb>
    <v>29</v>
  </rv>
  <rv s="1">
    <fb>15588.4871464315</fb>
    <v>8</v>
  </rv>
  <rv s="1">
    <fb>1.4987999999999999</fb>
    <v>30</v>
  </rv>
  <rv s="1">
    <fb>0.38161546668997998</fb>
    <v>29</v>
  </rv>
  <rv s="1">
    <fb>74.089062024805997</fb>
    <v>33</v>
  </rv>
  <rv s="1">
    <fb>0.81</fb>
    <v>34</v>
  </rv>
  <rv s="1">
    <fb>1736425629519.96</fb>
    <v>35</v>
  </rv>
  <rv s="1">
    <fb>1.0094368</fb>
    <v>29</v>
  </rv>
  <rv s="1">
    <fb>0.68922510000000003</fb>
    <v>29</v>
  </rv>
  <rv s="2">
    <v>1</v>
    <v>6</v>
    <v>12</v>
    <v>7</v>
    <v>0</v>
    <v>Image of Canada</v>
  </rv>
  <rv s="1">
    <fb>4.3</fb>
    <v>33</v>
  </rv>
  <rv s="0">
    <v>536870912</v>
    <v>Toronto</v>
    <v>e9c1d78f-effd-4cbf-af56-ce709763b200</v>
    <v>en-US</v>
    <v>Map</v>
  </rv>
  <rv s="0">
    <v>805306368</v>
    <v>Charles III (Monarch)</v>
    <v>afc6f6a9-5b55-9178-3e6f-2c8b6d16ee9c</v>
    <v>en-US</v>
    <v>Generic</v>
  </rv>
  <rv s="0">
    <v>805306368</v>
    <v>Justin Trudeau (Prime minister)</v>
    <v>d37aba31-28d1-b943-f0c6-dbddeb460528</v>
    <v>en-US</v>
    <v>Generic</v>
  </rv>
  <rv s="3">
    <v>2</v>
  </rv>
  <rv s="4">
    <v>https://www.bing.com/search?q=canada+country&amp;form=skydnc</v>
    <v>Learn more on Bing</v>
  </rv>
  <rv s="1">
    <fb>81.948780487804896</fb>
    <v>33</v>
  </rv>
  <rv s="1">
    <fb>1937902710000</fb>
    <v>35</v>
  </rv>
  <rv s="1">
    <fb>10</fb>
    <v>33</v>
  </rv>
  <rv s="1">
    <fb>9.51</fb>
    <v>34</v>
  </rv>
  <rv s="3">
    <v>3</v>
  </rv>
  <rv s="1">
    <fb>0.1458492763</fb>
    <v>29</v>
  </rv>
  <rv s="1">
    <fb>2.6101999999999999</fb>
    <v>30</v>
  </rv>
  <rv s="1">
    <fb>38929902</fb>
    <v>8</v>
  </rv>
  <rv s="1">
    <fb>0.23300000000000001</fb>
    <v>29</v>
  </rv>
  <rv s="1">
    <fb>0.251</fb>
    <v>29</v>
  </rv>
  <rv s="1">
    <fb>0.40600000000000003</fb>
    <v>29</v>
  </rv>
  <rv s="1">
    <fb>2.4E-2</fb>
    <v>29</v>
  </rv>
  <rv s="1">
    <fb>6.7000000000000004E-2</fb>
    <v>29</v>
  </rv>
  <rv s="1">
    <fb>0.124</fb>
    <v>29</v>
  </rv>
  <rv s="1">
    <fb>0.17</fb>
    <v>29</v>
  </rv>
  <rv s="1">
    <fb>0.65070999145507802</fb>
    <v>29</v>
  </rv>
  <rv s="0">
    <v>536870912</v>
    <v>Ontario</v>
    <v>070ad921-224a-9ed5-6fe1-8eab57b4b2e7</v>
    <v>en-US</v>
    <v>Map</v>
  </rv>
  <rv s="0">
    <v>536870912</v>
    <v>Quebec</v>
    <v>32da1fe8-6bb5-f40e-e008-82becf7ef390</v>
    <v>en-US</v>
    <v>Map</v>
  </rv>
  <rv s="0">
    <v>536870912</v>
    <v>Nova Scotia</v>
    <v>baa4aedd-bbb6-989e-cba4-ec2c9bdd906a</v>
    <v>en-US</v>
    <v>Map</v>
  </rv>
  <rv s="0">
    <v>536870912</v>
    <v>New Brunswick</v>
    <v>ed967bed-da27-9206-2407-d4e698015192</v>
    <v>en-US</v>
    <v>Map</v>
  </rv>
  <rv s="0">
    <v>536870912</v>
    <v>Manitoba</v>
    <v>21c9c883-dcc4-1490-a815-79c6eb525369</v>
    <v>en-US</v>
    <v>Map</v>
  </rv>
  <rv s="0">
    <v>536870912</v>
    <v>Newfoundland and Labrador</v>
    <v>895215e2-2c65-6494-fa6a-1f441a39ac4f</v>
    <v>en-US</v>
    <v>Map</v>
  </rv>
  <rv s="0">
    <v>536870912</v>
    <v>Prince Edward Island</v>
    <v>4e4aadcb-4928-0762-e307-bc01ba8f3dfb</v>
    <v>en-US</v>
    <v>Map</v>
  </rv>
  <rv s="0">
    <v>536870912</v>
    <v>Saskatchewan</v>
    <v>ec7108bb-bd34-c969-f3f2-2a9eed70102e</v>
    <v>en-US</v>
    <v>Map</v>
  </rv>
  <rv s="0">
    <v>536870912</v>
    <v>Alberta</v>
    <v>ac4b7d59-c4be-889f-9a45-7e7c524794ec</v>
    <v>en-US</v>
    <v>Map</v>
  </rv>
  <rv s="0">
    <v>536870912</v>
    <v>Yukon</v>
    <v>68d0a1b9-92a8-857c-53f4-9150cd050ece</v>
    <v>en-US</v>
    <v>Map</v>
  </rv>
  <rv s="0">
    <v>536870912</v>
    <v>Northwest Territories</v>
    <v>2e2284ce-2cc1-0b16-10e6-0783ada7c95b</v>
    <v>en-US</v>
    <v>Map</v>
  </rv>
  <rv s="0">
    <v>536870912</v>
    <v>Nunavut</v>
    <v>5220a5b2-1244-23fe-9851-d4b0373ac92e</v>
    <v>en-US</v>
    <v>Map</v>
  </rv>
  <rv s="0">
    <v>536870912</v>
    <v>British Columbia</v>
    <v>32a8fd1c-cd9d-0da9-35fb-f952ed824d4f</v>
    <v>en-US</v>
    <v>Map</v>
  </rv>
  <rv s="3">
    <v>4</v>
  </rv>
  <rv s="1">
    <fb>0.12844017475747799</fb>
    <v>29</v>
  </rv>
  <rv s="3">
    <v>5</v>
  </rv>
  <rv s="1">
    <fb>0.245</fb>
    <v>29</v>
  </rv>
  <rv s="1">
    <fb>5.5640001296997095E-2</fb>
    <v>36</v>
  </rv>
  <rv s="1">
    <fb>30628482</fb>
    <v>8</v>
  </rv>
  <rv s="6">
    <v>#VALUE!</v>
    <v>26</v>
    <v>27</v>
    <v>Canada</v>
    <v>4</v>
    <v>5</v>
    <v>Map</v>
    <v>6</v>
    <v>28</v>
    <v>en-US</v>
    <v>370ed614-32e1-4326-a356-dc0a7dd56aaa</v>
    <v>536870912</v>
    <v>1</v>
    <v>CA</v>
    <v>12</v>
    <v>13</v>
    <v>14</v>
    <v>15</v>
    <v>16</v>
    <v>17</v>
    <v>18</v>
    <v>19</v>
    <v>20</v>
    <v>CAD</v>
    <v>Canada is a country in North America. Its ten provinces and three territories extend from the Atlantic Ocean to the Pacific Ocean and northward into the Arctic Ocean, making it the world's second-largest country by total area, with the world's ...</v>
    <v>21</v>
    <v>22</v>
    <v>23</v>
    <v>24</v>
    <v>25</v>
    <v>26</v>
    <v>27</v>
    <v>28</v>
    <v>29</v>
    <v>30</v>
    <v>31</v>
    <v>34</v>
    <v>35</v>
    <v>36</v>
    <v>37</v>
    <v>38</v>
    <v>39</v>
    <v>Canada</v>
    <v>O Canada</v>
    <v>40</v>
    <v>Canada</v>
    <v>41</v>
    <v>42</v>
    <v>43</v>
    <v>44</v>
    <v>45</v>
    <v>46</v>
    <v>47</v>
    <v>48</v>
    <v>49</v>
    <v>50</v>
    <v>51</v>
    <v>65</v>
    <v>66</v>
    <v>67</v>
    <v>68</v>
    <v>69</v>
    <v>Canada</v>
    <v>70</v>
    <v>mdp/vdpid/39</v>
  </rv>
  <rv s="1">
    <fb>1542056</fb>
    <v>8</v>
  </rv>
  <rv s="1">
    <fb>1049386</fb>
    <v>8</v>
  </rv>
  <rv s="0">
    <v>536870912</v>
    <v>Quebec City</v>
    <v>8a8e64f6-510b-8816-6d69-6b5a37c533d8</v>
    <v>en-US</v>
    <v>Map</v>
  </rv>
  <rv s="1">
    <fb>3531660</fb>
    <v>8</v>
  </rv>
  <rv s="1">
    <fb>3531663</fb>
    <v>8</v>
  </rv>
  <rv s="2">
    <v>2</v>
    <v>6</v>
    <v>37</v>
    <v>7</v>
    <v>0</v>
    <v>Image of Quebec</v>
  </rv>
  <rv s="0">
    <v>536870912</v>
    <v>Montreal</v>
    <v>bf31f6ec-acd1-2e01-932b-c5c78c45d051</v>
    <v>en-US</v>
    <v>Map</v>
  </rv>
  <rv s="0">
    <v>805306368</v>
    <v>Manon Jeannotte (Lieutenant governor)</v>
    <v>989be6f3-76ac-bc89-9619-d185f2be5974</v>
    <v>en-US</v>
    <v>Generic</v>
  </rv>
  <rv s="0">
    <v>805306368</v>
    <v>François Legault (Premier)</v>
    <v>25235afc-3969-c14e-9e7f-0bcb0c65d62a</v>
    <v>en-US</v>
    <v>Generic</v>
  </rv>
  <rv s="3">
    <v>6</v>
  </rv>
  <rv s="4">
    <v>https://www.bing.com/search?q=quebec+canada&amp;form=skydnc</v>
    <v>Learn more on Bing</v>
  </rv>
  <rv s="1">
    <fb>77670</fb>
    <v>44</v>
  </rv>
  <rv s="3">
    <v>7</v>
  </rv>
  <rv s="1">
    <fb>2.2999999999999998</fb>
    <v>30</v>
  </rv>
  <rv s="1">
    <fb>8501833</fb>
    <v>8</v>
  </rv>
  <rv s="3">
    <v>8</v>
  </rv>
  <rv s="7">
    <v>#VALUE!</v>
    <v>41</v>
    <v>42</v>
    <v>Quebec</v>
    <v>4</v>
    <v>5</v>
    <v>Map</v>
    <v>6</v>
    <v>43</v>
    <v>en-US</v>
    <v>32da1fe8-6bb5-f40e-e008-82becf7ef390</v>
    <v>536870912</v>
    <v>1</v>
    <v>CA-QC</v>
    <v>72</v>
    <v>73</v>
    <v>74</v>
    <v>2</v>
    <v>Quebec is one of the thirteen provinces and territories of Canada. It is the largest province by area and the second-largest by population. Much of the population of Quebec lives in urban areas along the St. Lawrence River, between its most ...</v>
    <v>75</v>
    <v>76</v>
    <v>77</v>
    <v>78</v>
    <v>81</v>
    <v>82</v>
    <v>83</v>
    <v>Quebec</v>
    <v>84</v>
    <v>85</v>
    <v>86</v>
    <v>87</v>
    <v>Quebec</v>
    <v>mdp/vdpid/27068</v>
  </rv>
  <rv s="1">
    <fb>498</fb>
    <v>8</v>
  </rv>
  <rv s="2">
    <v>3</v>
    <v>6</v>
    <v>45</v>
    <v>7</v>
    <v>0</v>
    <v>Image of Montreal</v>
  </rv>
  <rv s="1">
    <fb>45.508888888888997</fb>
    <v>9</v>
  </rv>
  <rv s="0">
    <v>805306368</v>
    <v>Valérie Plante (Mayor)</v>
    <v>e63721dc-a633-6bba-7c34-e8c1efaae3fc</v>
    <v>en-US</v>
    <v>Generic</v>
  </rv>
  <rv s="3">
    <v>9</v>
  </rv>
  <rv s="4">
    <v>https://www.bing.com/search?q=montreal+canada&amp;form=skydnc</v>
    <v>Learn more on Bing</v>
  </rv>
  <rv s="1">
    <fb>-73.561666666666994</fb>
    <v>9</v>
  </rv>
  <rv s="1">
    <fb>1800055</fb>
    <v>8</v>
  </rv>
  <rv s="5">
    <v>#VALUE!</v>
    <v>46</v>
    <v>2</v>
    <v>Montreal</v>
    <v>4</v>
    <v>5</v>
    <v>Map</v>
    <v>6</v>
    <v>7</v>
    <v>en-US</v>
    <v>bf31f6ec-acd1-2e01-932b-c5c78c45d051</v>
    <v>536870912</v>
    <v>1</v>
    <v>89</v>
    <v>2</v>
    <v>Montreal is the second most populous city in Canada, the tenth most populous city in North America, and the most populous city in the province of Quebec. Founded in 1642 as Ville-Marie, or "City of Mary", it is named after Mount Royal, the ...</v>
    <v>90</v>
    <v>91</v>
    <v>93</v>
    <v>94</v>
    <v>95</v>
    <v>Montreal</v>
    <v>96</v>
    <v>10</v>
    <v>Montreal</v>
    <v>mdp/vdpid/5293949126482853889</v>
  </rv>
  <rv s="0">
    <v>536870912</v>
    <v>Beaconsfield, Quebec</v>
    <v>fd05de53-142e-3f76-07c8-f865362a0581</v>
    <v>en-US</v>
    <v>Map</v>
  </rv>
  <rv s="1">
    <fb>24.5</fb>
    <v>8</v>
  </rv>
  <rv s="2">
    <v>4</v>
    <v>6</v>
    <v>47</v>
    <v>7</v>
    <v>0</v>
    <v>Image of Beaconsfield, Quebec</v>
  </rv>
  <rv s="1">
    <fb>45.433333333333003</fb>
    <v>9</v>
  </rv>
  <rv s="0">
    <v>805306368</v>
    <v>Georges Bourelle (Mayor)</v>
    <v>738f7b14-cc57-61c6-5260-3288177bbe52</v>
    <v>en-US</v>
    <v>Generic</v>
  </rv>
  <rv s="3">
    <v>10</v>
  </rv>
  <rv s="4">
    <v>https://www.bing.com/search?q=beaconsfield+quebec&amp;form=skydnc</v>
    <v>Learn more on Bing</v>
  </rv>
  <rv s="1">
    <fb>-73.866666666667001</fb>
    <v>9</v>
  </rv>
  <rv s="1">
    <fb>19755</fb>
    <v>8</v>
  </rv>
  <rv s="8">
    <v>#VALUE!</v>
    <v>48</v>
    <v>49</v>
    <v>Beaconsfield, Quebec</v>
    <v>4</v>
    <v>5</v>
    <v>Map</v>
    <v>6</v>
    <v>7</v>
    <v>en-US</v>
    <v>fd05de53-142e-3f76-07c8-f865362a0581</v>
    <v>536870912</v>
    <v>1</v>
    <v>99</v>
    <v>2</v>
    <v>Beaconsfield is a suburb on the Island of Montreal, Quebec, Canada, part of the Greater Montreal region locally referred to as the West Island. It is a prestigious residential community located on the north shore of Lac Saint-Louis, bordered on ...</v>
    <v>100</v>
    <v>101</v>
    <v>103</v>
    <v>104</v>
    <v>105</v>
    <v>Beaconsfield, Quebec</v>
    <v>106</v>
    <v>Beaconsfield, Quebec</v>
    <v>mdp/vdpid/5293928192342491139</v>
  </rv>
  <rv s="0">
    <v>536870912</v>
    <v>Côte Saint-Luc</v>
    <v>7cf973da-60b9-9f8d-cf7d-8b895d28536d</v>
    <v>en-US</v>
    <v>Map</v>
  </rv>
  <rv s="1">
    <fb>6.95</fb>
    <v>8</v>
  </rv>
  <rv s="2">
    <v>5</v>
    <v>6</v>
    <v>50</v>
    <v>7</v>
    <v>0</v>
    <v>Image of Côte Saint-Luc</v>
  </rv>
  <rv s="1">
    <fb>45.466666666667003</fb>
    <v>9</v>
  </rv>
  <rv s="0">
    <v>805306368</v>
    <v>Mitchell Brownstein (Mayor)</v>
    <v>6793284c-0014-341e-e637-781657acfa12</v>
    <v>en-US</v>
    <v>Generic</v>
  </rv>
  <rv s="3">
    <v>11</v>
  </rv>
  <rv s="4">
    <v>https://www.bing.com/search?q=c%c3%b4te+saint-luc&amp;form=skydnc</v>
    <v>Learn more on Bing</v>
  </rv>
  <rv s="1">
    <fb>-73.666666666666998</fb>
    <v>9</v>
  </rv>
  <rv s="1">
    <fb>35419</fb>
    <v>8</v>
  </rv>
  <rv s="8">
    <v>#VALUE!</v>
    <v>51</v>
    <v>49</v>
    <v>Côte Saint-Luc</v>
    <v>4</v>
    <v>5</v>
    <v>Map</v>
    <v>6</v>
    <v>7</v>
    <v>en-US</v>
    <v>7cf973da-60b9-9f8d-cf7d-8b895d28536d</v>
    <v>536870912</v>
    <v>1</v>
    <v>109</v>
    <v>2</v>
    <v>Côte Saint-Luc is a city on the Island of Montreal in Quebec, Canada. It is a mostly residential suburb of Montreal, within which it forms an enclave. The city is primarily English-speaking, with a large Jewish community.</v>
    <v>110</v>
    <v>111</v>
    <v>113</v>
    <v>114</v>
    <v>115</v>
    <v>Côte Saint-Luc</v>
    <v>116</v>
    <v>Côte Saint-Luc</v>
    <v>mdp/vdpid/5293951599478046721</v>
  </rv>
  <rv s="0">
    <v>536870912</v>
    <v>Dollard-des-Ormeaux</v>
    <v>1a4783dc-4d60-467c-0509-cc1f8fdbeef5</v>
    <v>en-US</v>
    <v>Map</v>
  </rv>
  <rv s="1">
    <fb>15.1</fb>
    <v>8</v>
  </rv>
  <rv s="2">
    <v>6</v>
    <v>6</v>
    <v>52</v>
    <v>7</v>
    <v>0</v>
    <v>Image of Dollard-des-Ormeaux</v>
  </rv>
  <rv s="1">
    <fb>45.483333333333</fb>
    <v>9</v>
  </rv>
  <rv s="0">
    <v>805306368</v>
    <v>Alex Bottausci (Mayor)</v>
    <v>2d0749e9-a929-3c7b-1a50-31ab5c937ca3</v>
    <v>en-US</v>
    <v>Generic</v>
  </rv>
  <rv s="3">
    <v>12</v>
  </rv>
  <rv s="4">
    <v>https://www.bing.com/search?q=dollard-des+ormeaux+quebec+canada&amp;form=skydnc</v>
    <v>Learn more on Bing</v>
  </rv>
  <rv s="1">
    <fb>-73.816666666667004</fb>
    <v>9</v>
  </rv>
  <rv s="1">
    <fb>49908</fb>
    <v>8</v>
  </rv>
  <rv s="8">
    <v>#VALUE!</v>
    <v>53</v>
    <v>49</v>
    <v>Dollard-des-Ormeaux</v>
    <v>4</v>
    <v>5</v>
    <v>Map</v>
    <v>6</v>
    <v>7</v>
    <v>en-US</v>
    <v>1a4783dc-4d60-467c-0509-cc1f8fdbeef5</v>
    <v>536870912</v>
    <v>1</v>
    <v>119</v>
    <v>2</v>
    <v>Dollard-des-Ormeaux is a predominantly English-speaking suburb of Montreal in southwestern Quebec, Canada. It is located on the Island of Montreal. The town was named after French martyr Adam Dollard des Ormeaux.</v>
    <v>120</v>
    <v>121</v>
    <v>123</v>
    <v>124</v>
    <v>125</v>
    <v>Dollard-des-Ormeaux</v>
    <v>126</v>
    <v>Dollard-des-Ormeaux</v>
    <v>mdp/vdpid/5293950800597352449</v>
  </rv>
  <rv s="0">
    <v>536870912</v>
    <v>Dorval</v>
    <v>93345d17-c0c5-234e-da25-83328dfc0a06</v>
    <v>en-US</v>
    <v>Map</v>
  </rv>
  <rv s="1">
    <fb>29.1</fb>
    <v>8</v>
  </rv>
  <rv s="2">
    <v>7</v>
    <v>6</v>
    <v>54</v>
    <v>7</v>
    <v>0</v>
    <v>Image of Dorval</v>
  </rv>
  <rv s="1">
    <fb>45.45</fb>
    <v>9</v>
  </rv>
  <rv s="0">
    <v>805306368</v>
    <v>Marc Doret (Mayor)</v>
    <v>acda7537-6954-2fda-a6e8-9cd612574a0c</v>
    <v>en-US</v>
    <v>Generic</v>
  </rv>
  <rv s="3">
    <v>13</v>
  </rv>
  <rv s="4">
    <v>https://www.bing.com/search?q=dorval+canada&amp;form=skydnc</v>
    <v>Learn more on Bing</v>
  </rv>
  <rv s="1">
    <fb>-73.75</fb>
    <v>9</v>
  </rv>
  <rv s="1">
    <fb>19993</fb>
    <v>8</v>
  </rv>
  <rv s="8">
    <v>#VALUE!</v>
    <v>55</v>
    <v>49</v>
    <v>Dorval</v>
    <v>4</v>
    <v>5</v>
    <v>Map</v>
    <v>6</v>
    <v>7</v>
    <v>en-US</v>
    <v>93345d17-c0c5-234e-da25-83328dfc0a06</v>
    <v>536870912</v>
    <v>1</v>
    <v>129</v>
    <v>2</v>
    <v>Dorval is an on-island suburban city on the island of Montreal in southwestern Quebec, Canada. In 2016, the Canadian Census indicated that the population increased by 4.2% to 18,980. Although the city has the largest surface area in Montréal’s ...</v>
    <v>130</v>
    <v>131</v>
    <v>133</v>
    <v>134</v>
    <v>135</v>
    <v>Dorval</v>
    <v>136</v>
    <v>Dorval</v>
    <v>mdp/vdpid/5293950806788145153</v>
  </rv>
  <rv s="0">
    <v>536870912</v>
    <v>Hampstead, Quebec</v>
    <v>8976b404-adc3-8422-2e71-a7264ffd307f</v>
    <v>en-US</v>
    <v>Map</v>
  </rv>
  <rv s="1">
    <fb>1.8</fb>
    <v>8</v>
  </rv>
  <rv s="2">
    <v>8</v>
    <v>6</v>
    <v>56</v>
    <v>7</v>
    <v>0</v>
    <v>Image of Hampstead, Quebec</v>
  </rv>
  <rv s="1">
    <fb>45.4833</fb>
    <v>9</v>
  </rv>
  <rv s="0">
    <v>805306368</v>
    <v>Jeremy Levi (Mayor)</v>
    <v>7aaa0c0b-20a8-e3b8-759f-91bfed8f3f83</v>
    <v>en-US</v>
    <v>Generic</v>
  </rv>
  <rv s="3">
    <v>14</v>
  </rv>
  <rv s="4">
    <v>https://www.bing.com/search?q=hampstead+quebec&amp;form=skydnc</v>
    <v>Learn more on Bing</v>
  </rv>
  <rv s="1">
    <fb>-73.633300000000006</fb>
    <v>9</v>
  </rv>
  <rv s="1">
    <fb>7372</fb>
    <v>8</v>
  </rv>
  <rv s="8">
    <v>#VALUE!</v>
    <v>57</v>
    <v>49</v>
    <v>Hampstead, Quebec</v>
    <v>4</v>
    <v>5</v>
    <v>Map</v>
    <v>6</v>
    <v>7</v>
    <v>en-US</v>
    <v>8976b404-adc3-8422-2e71-a7264ffd307f</v>
    <v>536870912</v>
    <v>1</v>
    <v>139</v>
    <v>2</v>
    <v>Hampstead is an on-island suburb of Montreal, Quebec, Canada. It is an independent municipality bordering the municipality of Côte Saint-Luc and the Côte-des-Neiges–Notre-Dame-de-Grâce borough of Montreal.</v>
    <v>140</v>
    <v>141</v>
    <v>143</v>
    <v>144</v>
    <v>145</v>
    <v>Hampstead, Quebec</v>
    <v>146</v>
    <v>Hampstead, Quebec</v>
    <v>mdp/vdpid/5293953081107546113</v>
  </rv>
  <rv s="0">
    <v>536870912</v>
    <v>Kirkland, Quebec</v>
    <v>45271692-21f5-c856-45dc-baf867c61538</v>
    <v>en-US</v>
    <v>Map</v>
  </rv>
  <rv s="1">
    <fb>9.6</fb>
    <v>8</v>
  </rv>
  <rv s="2">
    <v>9</v>
    <v>6</v>
    <v>58</v>
    <v>7</v>
    <v>0</v>
    <v>Image of Kirkland, Quebec</v>
  </rv>
  <rv s="0">
    <v>805306368</v>
    <v>Michel Gibson (Mayor)</v>
    <v>7074e768-00b7-3f19-be56-d5cb10332acc</v>
    <v>en-US</v>
    <v>Generic</v>
  </rv>
  <rv s="3">
    <v>15</v>
  </rv>
  <rv s="4">
    <v>https://www.bing.com/search?q=kirkland+quebec+canada&amp;form=skydnc</v>
    <v>Learn more on Bing</v>
  </rv>
  <rv s="1">
    <fb>19930</fb>
    <v>8</v>
  </rv>
  <rv s="9">
    <v>#VALUE!</v>
    <v>59</v>
    <v>60</v>
    <v>Kirkland, Quebec</v>
    <v>4</v>
    <v>5</v>
    <v>Map</v>
    <v>6</v>
    <v>7</v>
    <v>en-US</v>
    <v>45271692-21f5-c856-45dc-baf867c61538</v>
    <v>536870912</v>
    <v>1</v>
    <v>53</v>
    <v>149</v>
    <v>2</v>
    <v>Kirkland is an on-island suburb on the Island of Montreal in southwestern Quebec, Canada. It is named after Charles-Aimé Kirkland, a Quebec provincial politician. It was incorporated as a town in 1961.</v>
    <v>150</v>
    <v>131</v>
    <v>152</v>
    <v>153</v>
    <v>105</v>
    <v>Kirkland, Quebec</v>
    <v>154</v>
    <v>Kirkland, Quebec</v>
    <v>mdp/vdpid/5293927382388834305</v>
  </rv>
  <rv s="0">
    <v>536870912</v>
    <v>Montréal-Est, Quebec</v>
    <v>1f3049d9-bedc-3330-8eb1-4dbc3b172a4a</v>
    <v>en-US</v>
    <v>Map</v>
  </rv>
  <rv s="1">
    <fb>14</fb>
    <v>8</v>
  </rv>
  <rv s="2">
    <v>10</v>
    <v>6</v>
    <v>61</v>
    <v>7</v>
    <v>0</v>
    <v>Image of Montréal-Est, Quebec</v>
  </rv>
  <rv s="1">
    <fb>45.633333333332999</fb>
    <v>9</v>
  </rv>
  <rv s="0">
    <v>805306368</v>
    <v>Anne St-Laurent (Mayor)</v>
    <v>2504fde2-a9ab-e0b7-e353-cd478e7b9ec3</v>
    <v>en-US</v>
    <v>Generic</v>
  </rv>
  <rv s="3">
    <v>16</v>
  </rv>
  <rv s="4">
    <v>https://www.bing.com/search?q=montr%c3%a9al-est+quebec+canada&amp;form=skydnc</v>
    <v>Learn more on Bing</v>
  </rv>
  <rv s="1">
    <fb>-73.516666666667007</fb>
    <v>9</v>
  </rv>
  <rv s="1">
    <fb>4456</fb>
    <v>8</v>
  </rv>
  <rv s="8">
    <v>#VALUE!</v>
    <v>62</v>
    <v>49</v>
    <v>Montréal-Est, Quebec</v>
    <v>4</v>
    <v>5</v>
    <v>Map</v>
    <v>6</v>
    <v>7</v>
    <v>en-US</v>
    <v>1f3049d9-bedc-3330-8eb1-4dbc3b172a4a</v>
    <v>536870912</v>
    <v>1</v>
    <v>157</v>
    <v>2</v>
    <v>Montreal East is an on-island suburb in southwestern Quebec, Canada, on the island of Montreal. Montreal-Est has been home to many large oil refineries since 1915.</v>
    <v>158</v>
    <v>159</v>
    <v>161</v>
    <v>162</v>
    <v>163</v>
    <v>Montréal-Est, Quebec</v>
    <v>164</v>
    <v>Montréal-Est, Quebec</v>
    <v>mdp/vdpid/5293949338379091969</v>
  </rv>
  <rv s="0">
    <v>536870912</v>
    <v>Montreal West, Quebec</v>
    <v>f167569d-eaba-ded6-814e-99a96e72773d</v>
    <v>en-US</v>
    <v>Map</v>
  </rv>
  <rv s="1">
    <fb>1.4</fb>
    <v>8</v>
  </rv>
  <rv s="2">
    <v>11</v>
    <v>6</v>
    <v>63</v>
    <v>7</v>
    <v>0</v>
    <v>Image of Montreal West, Quebec</v>
  </rv>
  <rv s="1">
    <fb>45.453600000000002</fb>
    <v>9</v>
  </rv>
  <rv s="0">
    <v>805306368</v>
    <v>Beny Masella (Mayor)</v>
    <v>5234ad82-0cc0-f575-39a3-b202900626e8</v>
    <v>en-US</v>
    <v>Generic</v>
  </rv>
  <rv s="3">
    <v>17</v>
  </rv>
  <rv s="4">
    <v>https://www.bing.com/search?q=montreal+west+quebec+canada&amp;form=skydnc</v>
    <v>Learn more on Bing</v>
  </rv>
  <rv s="1">
    <fb>-73.647199999999998</fb>
    <v>9</v>
  </rv>
  <rv s="1">
    <fb>5389</fb>
    <v>8</v>
  </rv>
  <rv s="5">
    <v>#VALUE!</v>
    <v>64</v>
    <v>2</v>
    <v>Montreal West, Quebec</v>
    <v>4</v>
    <v>5</v>
    <v>Map</v>
    <v>6</v>
    <v>7</v>
    <v>en-US</v>
    <v>f167569d-eaba-ded6-814e-99a96e72773d</v>
    <v>536870912</v>
    <v>1</v>
    <v>167</v>
    <v>2</v>
    <v>Montreal West is an on-island suburb in southwestern Quebec, Canada, on the Island of Montreal. Montreal West is a small, close-knit community made up primarily of single-family dwellings. The town is largely composed of families, with 77% of ...</v>
    <v>168</v>
    <v>169</v>
    <v>171</v>
    <v>172</v>
    <v>173</v>
    <v>Montreal West, Quebec</v>
    <v>174</v>
    <v>10</v>
    <v>Montreal West, Quebec</v>
    <v>mdp/vdpid/5293953144240209921</v>
  </rv>
  <rv s="0">
    <v>536870912</v>
    <v>Mount Royal, Quebec</v>
    <v>69cf7be9-a835-0485-6ebd-a225d52fc117</v>
    <v>en-US</v>
    <v>Map</v>
  </rv>
  <rv s="1">
    <fb>7.46</fb>
    <v>8</v>
  </rv>
  <rv s="2">
    <v>12</v>
    <v>6</v>
    <v>65</v>
    <v>7</v>
    <v>0</v>
    <v>Image of Mount Royal, Quebec</v>
  </rv>
  <rv s="1">
    <fb>45.516111111111002</fb>
    <v>9</v>
  </rv>
  <rv s="0">
    <v>805306368</v>
    <v>Peter J. Malouf (Mayor)</v>
    <v>c7863348-1732-79c9-00dc-a3cc47c6a2a8</v>
    <v>en-US</v>
    <v>Generic</v>
  </rv>
  <rv s="3">
    <v>18</v>
  </rv>
  <rv s="4">
    <v>https://www.bing.com/search?q=mount+royal+quebec+canada&amp;form=skydnc</v>
    <v>Learn more on Bing</v>
  </rv>
  <rv s="1">
    <fb>-73.643055555556003</fb>
    <v>9</v>
  </rv>
  <rv s="1">
    <fb>21439</fb>
    <v>8</v>
  </rv>
  <rv s="8">
    <v>#VALUE!</v>
    <v>66</v>
    <v>49</v>
    <v>Mount Royal, Quebec</v>
    <v>4</v>
    <v>5</v>
    <v>Map</v>
    <v>6</v>
    <v>7</v>
    <v>en-US</v>
    <v>69cf7be9-a835-0485-6ebd-a225d52fc117</v>
    <v>536870912</v>
    <v>1</v>
    <v>177</v>
    <v>2</v>
    <v>Mount Royal is an affluent on-island suburban town located on the northwest side of the eponymous Mount Royal, northwest of Downtown Montreal, on the Island of Montreal in southwestern Quebec, Canada. It is completely surrounded by the city of ...</v>
    <v>178</v>
    <v>179</v>
    <v>181</v>
    <v>182</v>
    <v>183</v>
    <v>Mount Royal, Quebec</v>
    <v>184</v>
    <v>Mount Royal, Quebec</v>
    <v>mdp/vdpid/5293952808779776001</v>
  </rv>
  <rv s="0">
    <v>536870912</v>
    <v>Pointe-Claire</v>
    <v>fc7ef7d8-2b24-6d9d-ae45-1ee380cb0bd3</v>
    <v>en-US</v>
    <v>Map</v>
  </rv>
  <rv s="1">
    <fb>34.700000000000003</fb>
    <v>8</v>
  </rv>
  <rv s="2">
    <v>13</v>
    <v>6</v>
    <v>67</v>
    <v>7</v>
    <v>0</v>
    <v>Image of Pointe-Claire</v>
  </rv>
  <rv s="0">
    <v>805306368</v>
    <v>Tim Thomas (Mayor)</v>
    <v>fbc96201-d33e-f689-9081-4889abe1d3bd</v>
    <v>en-US</v>
    <v>Generic</v>
  </rv>
  <rv s="3">
    <v>19</v>
  </rv>
  <rv s="4">
    <v>https://www.bing.com/search?q=pointe-claire+quebec+canada&amp;form=skydnc</v>
    <v>Learn more on Bing</v>
  </rv>
  <rv s="1">
    <fb>34548</fb>
    <v>8</v>
  </rv>
  <rv s="8">
    <v>#VALUE!</v>
    <v>68</v>
    <v>49</v>
    <v>Pointe-Claire</v>
    <v>4</v>
    <v>5</v>
    <v>Map</v>
    <v>6</v>
    <v>7</v>
    <v>en-US</v>
    <v>fc7ef7d8-2b24-6d9d-ae45-1ee380cb0bd3</v>
    <v>536870912</v>
    <v>1</v>
    <v>187</v>
    <v>2</v>
    <v>Pointe-Claire is a Quebec local municipality within the Urban agglomeration of Montreal on the Island of Montreal in Canada. It is entirely developed, and land use includes residential, light manufacturing, and retail. As of the 2021 census the ...</v>
    <v>188</v>
    <v>131</v>
    <v>190</v>
    <v>191</v>
    <v>125</v>
    <v>Pointe-Claire</v>
    <v>192</v>
    <v>Pointe-Claire</v>
    <v>mdp/vdpid/5293951900176089089</v>
  </rv>
  <rv s="0">
    <v>536870912</v>
    <v>Sainte-Anne-de-Bellevue</v>
    <v>74e77399-2341-382e-9700-d065dbd5fc51</v>
    <v>en-US</v>
    <v>Map</v>
  </rv>
  <rv s="1">
    <fb>11.2</fb>
    <v>8</v>
  </rv>
  <rv s="2">
    <v>14</v>
    <v>6</v>
    <v>69</v>
    <v>7</v>
    <v>0</v>
    <v>Image of Sainte-Anne-de-Bellevue</v>
  </rv>
  <rv s="1">
    <fb>45.4039</fb>
    <v>9</v>
  </rv>
  <rv s="0">
    <v>805306368</v>
    <v>Paola Hawa (Mayor)</v>
    <v>af7dfa3a-05c8-de42-c2d7-0082e8308fa2</v>
    <v>en-US</v>
    <v>Generic</v>
  </rv>
  <rv s="3">
    <v>20</v>
  </rv>
  <rv s="4">
    <v>https://www.bing.com/search?q=sainte-anne-de-bellevue+montreal+quebec&amp;form=skydnc</v>
    <v>Learn more on Bing</v>
  </rv>
  <rv s="1">
    <fb>-73.952500000000001</fb>
    <v>9</v>
  </rv>
  <rv s="1">
    <fb>5026</fb>
    <v>8</v>
  </rv>
  <rv s="8">
    <v>#VALUE!</v>
    <v>70</v>
    <v>49</v>
    <v>Sainte-Anne-de-Bellevue</v>
    <v>4</v>
    <v>5</v>
    <v>Map</v>
    <v>6</v>
    <v>7</v>
    <v>en-US</v>
    <v>74e77399-2341-382e-9700-d065dbd5fc51</v>
    <v>536870912</v>
    <v>1</v>
    <v>195</v>
    <v>2</v>
    <v>Sainte-Anne-de-Bellevue is an on-island suburb located at the western tip of the Island of Montreal in southwestern Quebec, Canada. It is the second oldest community in Montreal's West Island, having been founded as a parish in 1703. The oldest, ...</v>
    <v>196</v>
    <v>197</v>
    <v>199</v>
    <v>200</v>
    <v>201</v>
    <v>Sainte-Anne-de-Bellevue</v>
    <v>202</v>
    <v>Sainte-Anne-de-Bellevue</v>
    <v>mdp/vdpid/5293927712916766721</v>
  </rv>
  <rv s="0">
    <v>536870912</v>
    <v>Senneville, Quebec</v>
    <v>bfca9332-6749-b94b-efb0-50fcfac95cc6</v>
    <v>en-US</v>
    <v>Map</v>
  </rv>
  <rv s="1">
    <fb>18.600000000000001</fb>
    <v>8</v>
  </rv>
  <rv s="2">
    <v>15</v>
    <v>6</v>
    <v>71</v>
    <v>7</v>
    <v>0</v>
    <v>Image of Senneville, Quebec</v>
  </rv>
  <rv s="0">
    <v>805306368</v>
    <v>Julie Brisebois (Mayor)</v>
    <v>da1c7897-25b5-d980-bd65-f4583151d773</v>
    <v>en-US</v>
    <v>Generic</v>
  </rv>
  <rv s="3">
    <v>21</v>
  </rv>
  <rv s="4">
    <v>https://www.bing.com/search?q=senneville+canada&amp;form=skydnc</v>
    <v>Learn more on Bing</v>
  </rv>
  <rv s="1">
    <fb>-73.95</fb>
    <v>9</v>
  </rv>
  <rv s="1">
    <fb>951</fb>
    <v>8</v>
  </rv>
  <rv s="8">
    <v>#VALUE!</v>
    <v>72</v>
    <v>49</v>
    <v>Senneville, Quebec</v>
    <v>4</v>
    <v>5</v>
    <v>Map</v>
    <v>6</v>
    <v>73</v>
    <v>en-US</v>
    <v>bfca9332-6749-b94b-efb0-50fcfac95cc6</v>
    <v>536870912</v>
    <v>1</v>
    <v>205</v>
    <v>2</v>
    <v>Senneville is an affluent on-island suburban village on the western tip of the Island of Montreal, Quebec, Canada. It is the wealthiest town in the West Island. Situated close to the city of Montreal, it was historically a popular location for ...</v>
    <v>206</v>
    <v>4</v>
    <v>208</v>
    <v>209</v>
    <v>210</v>
    <v>Senneville, Quebec</v>
    <v>211</v>
    <v>Senneville, Quebec</v>
    <v>mdp/vdpid/5293927654196510721</v>
  </rv>
  <rv s="0">
    <v>536870912</v>
    <v>Westmount</v>
    <v>24edeaaf-9dd3-158d-390f-f2026c4cb720</v>
    <v>en-US</v>
    <v>Map</v>
  </rv>
  <rv s="1">
    <fb>4</fb>
    <v>8</v>
  </rv>
  <rv s="2">
    <v>16</v>
    <v>6</v>
    <v>74</v>
    <v>7</v>
    <v>0</v>
    <v>Image of Westmount</v>
  </rv>
  <rv s="1">
    <fb>45.481388888889001</fb>
    <v>9</v>
  </rv>
  <rv s="0">
    <v>805306368</v>
    <v>Christina Smith (Mayor)</v>
    <v>2246af11-6cb6-2b25-7f01-18014d535570</v>
    <v>en-US</v>
    <v>Generic</v>
  </rv>
  <rv s="3">
    <v>22</v>
  </rv>
  <rv s="4">
    <v>https://www.bing.com/search?q=westmount+quebec&amp;form=skydnc</v>
    <v>Learn more on Bing</v>
  </rv>
  <rv s="1">
    <fb>-73.600555555555999</fb>
    <v>9</v>
  </rv>
  <rv s="1">
    <fb>19938</fb>
    <v>8</v>
  </rv>
  <rv s="8">
    <v>#VALUE!</v>
    <v>75</v>
    <v>49</v>
    <v>Westmount</v>
    <v>4</v>
    <v>5</v>
    <v>Map</v>
    <v>6</v>
    <v>7</v>
    <v>en-US</v>
    <v>24edeaaf-9dd3-158d-390f-f2026c4cb720</v>
    <v>536870912</v>
    <v>1</v>
    <v>214</v>
    <v>2</v>
    <v>Westmount is an affluent municipality on the Island of Montreal, in southwestern Quebec, Canada. It is an enclave of the city of Montreal, with a population of 19,658 as of the 2021 Canadian census. Westmount is home to schools, an arena, a ...</v>
    <v>215</v>
    <v>216</v>
    <v>218</v>
    <v>219</v>
    <v>220</v>
    <v>Westmount</v>
    <v>221</v>
    <v>Westmount</v>
    <v>mdp/vdpid/5293953213093904388</v>
  </rv>
  <rv s="0">
    <v>536870912</v>
    <v>Ahuntsic-Cartierville</v>
    <v>0aa3e3e0-351b-fa3d-e894-d4a280419c11</v>
    <v>en-US</v>
    <v>Map</v>
  </rv>
  <rv s="1">
    <fb>24.2</fb>
    <v>8</v>
  </rv>
  <rv s="2">
    <v>17</v>
    <v>6</v>
    <v>76</v>
    <v>7</v>
    <v>0</v>
    <v>Image of Ahuntsic-Cartierville</v>
  </rv>
  <rv s="1">
    <fb>45.534999999999997</fb>
    <v>9</v>
  </rv>
  <rv s="0">
    <v>805306368</v>
    <v>Émilie Thuillier (Mayor)</v>
    <v>b3f13795-576a-460d-88d4-a27a73eba618</v>
    <v>en-US</v>
    <v>Generic</v>
  </rv>
  <rv s="3">
    <v>23</v>
  </rv>
  <rv s="4">
    <v>https://www.bing.com/search?q=ahuntsic-cartierville+montreal+quebec&amp;form=skydnc</v>
    <v>Learn more on Bing</v>
  </rv>
  <rv s="1">
    <fb>-73.704999999999998</fb>
    <v>9</v>
  </rv>
  <rv s="1">
    <fb>134245</fb>
    <v>8</v>
  </rv>
  <rv s="10">
    <v>#VALUE!</v>
    <v>78</v>
    <v>79</v>
    <v>Ahuntsic-Cartierville</v>
    <v>4</v>
    <v>5</v>
    <v>Map</v>
    <v>6</v>
    <v>80</v>
    <v>en-US</v>
    <v>0aa3e3e0-351b-fa3d-e894-d4a280419c11</v>
    <v>536870912</v>
    <v>1</v>
    <v>78</v>
    <v>224</v>
    <v>2</v>
    <v>Ahuntsic-Cartierville is a borough of the city of Montreal, Quebec, Canada. The borough was created following the 2002 municipal reorganization of Montreal. It comprises two main neighbourhoods, Ahuntsic, a former village annexed to Montreal in ...</v>
    <v>225</v>
    <v>226</v>
    <v>228</v>
    <v>229</v>
    <v>230</v>
    <v>Ahuntsic-Cartierville</v>
    <v>231</v>
    <v>10</v>
    <v>Ahuntsic-Cartierville</v>
    <v>mdp/vdpid/5293948341594357761</v>
  </rv>
  <rv s="0">
    <v>536870912</v>
    <v>Anjou, Quebec</v>
    <v>2434de20-9f7b-bde6-a621-221efe81d256</v>
    <v>en-US</v>
    <v>Map</v>
  </rv>
  <rv s="1">
    <fb>13.61</fb>
    <v>8</v>
  </rv>
  <rv s="2">
    <v>18</v>
    <v>6</v>
    <v>81</v>
    <v>7</v>
    <v>0</v>
    <v>Image of Anjou, Quebec</v>
  </rv>
  <rv s="1">
    <fb>45.6</fb>
    <v>9</v>
  </rv>
  <rv s="0">
    <v>805306368</v>
    <v>Luis Miranda (Mayor)</v>
    <v>a772f244-ea08-b0e1-0bc6-d734fd62f1d6</v>
    <v>en-US</v>
    <v>Generic</v>
  </rv>
  <rv s="3">
    <v>24</v>
  </rv>
  <rv s="4">
    <v>https://www.bing.com/search?q=anjou+montreal+quebec&amp;form=skydnc</v>
    <v>Learn more on Bing</v>
  </rv>
  <rv s="1">
    <fb>-73.533299999999997</fb>
    <v>9</v>
  </rv>
  <rv s="1">
    <fb>42796</fb>
    <v>8</v>
  </rv>
  <rv s="10">
    <v>#VALUE!</v>
    <v>83</v>
    <v>79</v>
    <v>Anjou, Quebec</v>
    <v>4</v>
    <v>5</v>
    <v>Map</v>
    <v>6</v>
    <v>80</v>
    <v>en-US</v>
    <v>2434de20-9f7b-bde6-a621-221efe81d256</v>
    <v>536870912</v>
    <v>1</v>
    <v>78</v>
    <v>234</v>
    <v>2</v>
    <v>Anjou is a borough of the Canadian city of Montreal. Prior to its 2002 merger it was an independent city. Although it is no longer an independent city, it is still commonly known as known as Ville d'Anjou. Anjou has a predominantly Francophone ...</v>
    <v>235</v>
    <v>236</v>
    <v>238</v>
    <v>239</v>
    <v>240</v>
    <v>Anjou, Quebec</v>
    <v>241</v>
    <v>10</v>
    <v>Anjou, Quebec</v>
    <v>mdp/vdpid/5293949681557045249</v>
  </rv>
  <rv s="0">
    <v>536870912</v>
    <v>Côte-des-Neiges–Notre-Dame-de-Grâce</v>
    <v>c8cc17a8-4a13-fb1c-c706-59e194193c0d</v>
    <v>en-US</v>
    <v>Map</v>
  </rv>
  <rv s="1">
    <fb>21.4</fb>
    <v>8</v>
  </rv>
  <rv s="2">
    <v>19</v>
    <v>6</v>
    <v>84</v>
    <v>7</v>
    <v>0</v>
    <v>Image of Côte-des-Neiges–Notre-Dame-de-Grâce</v>
  </rv>
  <rv s="1">
    <fb>45.476199999999999</fb>
    <v>9</v>
  </rv>
  <rv s="0">
    <v>805306368</v>
    <v>Gracia Kasoki Katahwa (Mayor)</v>
    <v>978e81e0-1997-7d95-aa4a-e8485e33b0a0</v>
    <v>en-US</v>
    <v>Generic</v>
  </rv>
  <rv s="3">
    <v>25</v>
  </rv>
  <rv s="4">
    <v>https://www.bing.com/search?q=c%c3%b4te-des-neiges%e2%80%93notre-dame-de-gr%c3%a2ce+montreal+quebec&amp;form=skydnc</v>
    <v>Learn more on Bing</v>
  </rv>
  <rv s="1">
    <fb>-73.627099999999999</fb>
    <v>9</v>
  </rv>
  <rv s="1">
    <fb>166520</fb>
    <v>8</v>
  </rv>
  <rv s="11">
    <v>#VALUE!</v>
    <v>86</v>
    <v>87</v>
    <v>Côte-des-Neiges–Notre-Dame-de-Grâce</v>
    <v>4</v>
    <v>5</v>
    <v>Map</v>
    <v>6</v>
    <v>80</v>
    <v>en-US</v>
    <v>c8cc17a8-4a13-fb1c-c706-59e194193c0d</v>
    <v>536870912</v>
    <v>1</v>
    <v>78</v>
    <v>244</v>
    <v>2</v>
    <v>Côte-des-Neiges–Notre-Dame-de-Grâce is a borough of Montreal, Quebec, Canada. The borough was created following the 2002 municipal reorganization of Montreal. It comprises two main neighbourhoods, Côte-des-Neiges and Notre-Dame-de-Grâce, both ...</v>
    <v>245</v>
    <v>246</v>
    <v>248</v>
    <v>249</v>
    <v>250</v>
    <v>Côte-des-Neiges–Notre-Dame-de-Grâce</v>
    <v>251</v>
    <v>Côte-des-Neiges–Notre-Dame-de-Grâce</v>
    <v>mdp/vdpid/5293952870754811905</v>
  </rv>
  <rv s="0">
    <v>536870912</v>
    <v>L'Île-Bizard–Sainte-Geneviève</v>
    <v>a79ebe38-dd25-ba0b-b00e-b281d225949e</v>
    <v>en-US</v>
    <v>Map</v>
  </rv>
  <rv s="1">
    <fb>23.63</fb>
    <v>8</v>
  </rv>
  <rv s="2">
    <v>20</v>
    <v>6</v>
    <v>88</v>
    <v>7</v>
    <v>0</v>
    <v>Image of L'Île-Bizard–Sainte-Geneviève</v>
  </rv>
  <rv s="1">
    <fb>45.4831</fb>
    <v>9</v>
  </rv>
  <rv s="0">
    <v>805306368</v>
    <v>Doug Hurley (Mayor)</v>
    <v>c0bedb13-31cb-be90-23e8-7b26a148eac9</v>
    <v>en-US</v>
    <v>Generic</v>
  </rv>
  <rv s="3">
    <v>26</v>
  </rv>
  <rv s="4">
    <v>https://www.bing.com/search?q=l%27%c3%aele-bizard%e2%80%93sainte-genevi%c3%a8ve+montreal+quebec&amp;form=skydnc</v>
    <v>Learn more on Bing</v>
  </rv>
  <rv s="1">
    <fb>-73.876199999999997</fb>
    <v>9</v>
  </rv>
  <rv s="1">
    <fb>18413</fb>
    <v>8</v>
  </rv>
  <rv s="11">
    <v>#VALUE!</v>
    <v>90</v>
    <v>87</v>
    <v>L'Île-Bizard–Sainte-Geneviève</v>
    <v>4</v>
    <v>5</v>
    <v>Map</v>
    <v>6</v>
    <v>80</v>
    <v>en-US</v>
    <v>a79ebe38-dd25-ba0b-b00e-b281d225949e</v>
    <v>536870912</v>
    <v>1</v>
    <v>78</v>
    <v>254</v>
    <v>2</v>
    <v>L'Île-Bizard–Sainte-Geneviève is a borough of the city of Montreal.</v>
    <v>255</v>
    <v>256</v>
    <v>258</v>
    <v>259</v>
    <v>260</v>
    <v>L'Île-Bizard–Sainte-Geneviève</v>
    <v>261</v>
    <v>L'Île-Bizard–Sainte-Geneviève</v>
    <v>mdp/vdpid/5293927036509749249</v>
  </rv>
  <rv s="0">
    <v>536870912</v>
    <v>Lachine, Quebec</v>
    <v>a8aef221-f404-247e-b860-432e9a4dda2e</v>
    <v>en-US</v>
    <v>Map</v>
  </rv>
  <rv s="1">
    <fb>17.8</fb>
    <v>8</v>
  </rv>
  <rv s="2">
    <v>21</v>
    <v>6</v>
    <v>91</v>
    <v>7</v>
    <v>0</v>
    <v>Image of Lachine, Quebec</v>
  </rv>
  <rv s="1">
    <fb>45.433055555555597</fb>
    <v>9</v>
  </rv>
  <rv s="0">
    <v>805306368</v>
    <v>Maja Vodanovic (Mayor)</v>
    <v>1172885c-770f-f178-c70f-0897de4a0c6f</v>
    <v>en-US</v>
    <v>Generic</v>
  </rv>
  <rv s="3">
    <v>27</v>
  </rv>
  <rv s="4">
    <v>https://www.bing.com/search?q=lachine+quebec&amp;form=skydnc</v>
    <v>Learn more on Bing</v>
  </rv>
  <rv s="1">
    <fb>-73.680833333333297</fb>
    <v>9</v>
  </rv>
  <rv s="1">
    <fb>44489</fb>
    <v>8</v>
  </rv>
  <rv s="10">
    <v>#VALUE!</v>
    <v>93</v>
    <v>79</v>
    <v>Lachine, Quebec</v>
    <v>4</v>
    <v>5</v>
    <v>Map</v>
    <v>6</v>
    <v>80</v>
    <v>en-US</v>
    <v>a8aef221-f404-247e-b860-432e9a4dda2e</v>
    <v>536870912</v>
    <v>1</v>
    <v>78</v>
    <v>264</v>
    <v>2</v>
    <v>Lachine is a borough within the city of Montreal on the Island of Montreal in southwestern Quebec, Canada. It was founded as a trading post in 1669. Developing into a parish and then an autonomous city, it was merged as a municipality into ...</v>
    <v>265</v>
    <v>266</v>
    <v>268</v>
    <v>269</v>
    <v>270</v>
    <v>Lachine, Quebec</v>
    <v>271</v>
    <v>10</v>
    <v>Lachine, Quebec</v>
    <v>mdp/vdpid/5293951640414453761</v>
  </rv>
  <rv s="0">
    <v>536870912</v>
    <v>LaSalle, Quebec</v>
    <v>8699bcdd-de87-27e9-cfa3-67510300cc06</v>
    <v>en-US</v>
    <v>Map</v>
  </rv>
  <rv s="1">
    <fb>16.38</fb>
    <v>8</v>
  </rv>
  <rv s="2">
    <v>22</v>
    <v>6</v>
    <v>94</v>
    <v>7</v>
    <v>0</v>
    <v>Image of LaSalle, Quebec</v>
  </rv>
  <rv s="1">
    <fb>45.428600000000003</fb>
    <v>9</v>
  </rv>
  <rv s="3">
    <v>28</v>
  </rv>
  <rv s="4">
    <v>https://www.bing.com/search?q=lasalle+quebec&amp;form=skydnc</v>
    <v>Learn more on Bing</v>
  </rv>
  <rv s="1">
    <fb>-73.663399999999996</fb>
    <v>9</v>
  </rv>
  <rv s="1">
    <fb>74276</fb>
    <v>8</v>
  </rv>
  <rv s="11">
    <v>#VALUE!</v>
    <v>95</v>
    <v>87</v>
    <v>LaSalle, Quebec</v>
    <v>4</v>
    <v>5</v>
    <v>Map</v>
    <v>6</v>
    <v>96</v>
    <v>en-US</v>
    <v>8699bcdd-de87-27e9-cfa3-67510300cc06</v>
    <v>536870912</v>
    <v>1</v>
    <v>78</v>
    <v>274</v>
    <v>2</v>
    <v>LaSalle is the most southerly borough of the city of Montreal, Quebec, Canada. It is located in the south-west portion of the Island of Montreal, along the Saint Lawrence River. Prior to 2002, it was a separate municipality that had been ...</v>
    <v>275</v>
    <v>276</v>
    <v>277</v>
    <v>278</v>
    <v>279</v>
    <v>LaSalle, Quebec</v>
    <v>280</v>
    <v>LaSalle, Quebec</v>
    <v>mdp/vdpid/5293953942449815553</v>
  </rv>
  <rv s="0">
    <v>536870912</v>
    <v>Mercier–Hochelaga-Maisonneuve</v>
    <v>2308c330-60c3-31b3-1986-286b1db4e30c</v>
    <v>en-US</v>
    <v>Map</v>
  </rv>
  <rv s="1">
    <fb>25.4</fb>
    <v>8</v>
  </rv>
  <rv s="2">
    <v>23</v>
    <v>6</v>
    <v>97</v>
    <v>7</v>
    <v>0</v>
    <v>Image of Mercier–Hochelaga-Maisonneuve</v>
  </rv>
  <rv s="1">
    <fb>45.567541666666997</fb>
    <v>9</v>
  </rv>
  <rv s="3">
    <v>29</v>
  </rv>
  <rv s="4">
    <v>https://www.bing.com/search?q=mercier%e2%80%93hochelaga-maisonneuve+montreal+quebec&amp;form=skydnc</v>
    <v>Learn more on Bing</v>
  </rv>
  <rv s="1">
    <fb>-73.525436111111006</fb>
    <v>9</v>
  </rv>
  <rv s="12">
    <v>#VALUE!</v>
    <v>98</v>
    <v>99</v>
    <v>Mercier–Hochelaga-Maisonneuve</v>
    <v>4</v>
    <v>5</v>
    <v>Map</v>
    <v>6</v>
    <v>100</v>
    <v>en-US</v>
    <v>2308c330-60c3-31b3-1986-286b1db4e30c</v>
    <v>536870912</v>
    <v>1</v>
    <v>78</v>
    <v>283</v>
    <v>2</v>
    <v>Mercier–Hochelaga-Maisonneuve is a borough of Montreal, Quebec, Canada located in the southeastern end of the island.</v>
    <v>284</v>
    <v>285</v>
    <v>286</v>
    <v>287</v>
    <v>288</v>
    <v>Mercier–Hochelaga-Maisonneuve</v>
    <v>Mercier–Hochelaga-Maisonneuve</v>
    <v>mdp/vdpid/5293950146973794306</v>
  </rv>
  <rv s="0">
    <v>536870912</v>
    <v>Montréal-Nord</v>
    <v>fdb78fa1-de62-9c91-d2b5-6ab89c7fd0b1</v>
    <v>en-US</v>
    <v>Map</v>
  </rv>
  <rv s="1">
    <fb>11.07</fb>
    <v>8</v>
  </rv>
  <rv s="2">
    <v>24</v>
    <v>6</v>
    <v>101</v>
    <v>7</v>
    <v>0</v>
    <v>Image of Montréal-Nord</v>
  </rv>
  <rv s="0">
    <v>805306368</v>
    <v>Christine Black (Mayor)</v>
    <v>f6e100b9-c6fc-7fe2-85e5-55c3d88c2ef6</v>
    <v>en-US</v>
    <v>Generic</v>
  </rv>
  <rv s="3">
    <v>30</v>
  </rv>
  <rv s="4">
    <v>https://www.bing.com/search?q=montr%c3%a9al-nord+montreal+quebec&amp;form=skydnc</v>
    <v>Learn more on Bing</v>
  </rv>
  <rv s="1">
    <fb>-73.616699999999994</fb>
    <v>9</v>
  </rv>
  <rv s="1">
    <fb>84234</fb>
    <v>8</v>
  </rv>
  <rv s="11">
    <v>#VALUE!</v>
    <v>103</v>
    <v>87</v>
    <v>Montréal-Nord</v>
    <v>4</v>
    <v>5</v>
    <v>Map</v>
    <v>6</v>
    <v>80</v>
    <v>en-US</v>
    <v>fdb78fa1-de62-9c91-d2b5-6ab89c7fd0b1</v>
    <v>536870912</v>
    <v>1</v>
    <v>78</v>
    <v>291</v>
    <v>2</v>
    <v>Montréal-Nord is a borough within the city of Montreal, Canada. It consists entirely of the former city of Montreal North on the Island of Montreal in southwestern Quebec. It was amalgamated into the City of Montreal on January 1, 2002.</v>
    <v>292</v>
    <v>236</v>
    <v>294</v>
    <v>295</v>
    <v>296</v>
    <v>Montréal-Nord</v>
    <v>297</v>
    <v>Montréal-Nord</v>
    <v>mdp/vdpid/5293949508332290049</v>
  </rv>
  <rv s="0">
    <v>536870912</v>
    <v>Outremont, Quebec</v>
    <v>48f42e3c-0d29-0306-48ad-4c020677e69c</v>
    <v>en-US</v>
    <v>Map</v>
  </rv>
  <rv s="1">
    <fb>3.84</fb>
    <v>8</v>
  </rv>
  <rv s="2">
    <v>25</v>
    <v>6</v>
    <v>104</v>
    <v>7</v>
    <v>0</v>
    <v>Image of Outremont, Quebec</v>
  </rv>
  <rv s="1">
    <fb>45.518050000000002</fb>
    <v>9</v>
  </rv>
  <rv s="0">
    <v>805306368</v>
    <v>Laurent Desbois (Mayor)</v>
    <v>1c040d11-3fbd-cee3-0afe-e3e02b7d7332</v>
    <v>en-US</v>
    <v>Generic</v>
  </rv>
  <rv s="3">
    <v>31</v>
  </rv>
  <rv s="4">
    <v>https://www.bing.com/search?q=outremont%2c+quebec+montreal+quebec&amp;form=skydnc</v>
    <v>Learn more on Bing</v>
  </rv>
  <rv s="1">
    <fb>-73.611109999999996</fb>
    <v>9</v>
  </rv>
  <rv s="1">
    <fb>23954</fb>
    <v>8</v>
  </rv>
  <rv s="11">
    <v>#VALUE!</v>
    <v>106</v>
    <v>87</v>
    <v>Outremont, Quebec</v>
    <v>4</v>
    <v>5</v>
    <v>Map</v>
    <v>6</v>
    <v>80</v>
    <v>en-US</v>
    <v>48f42e3c-0d29-0306-48ad-4c020677e69c</v>
    <v>536870912</v>
    <v>1</v>
    <v>78</v>
    <v>300</v>
    <v>2</v>
    <v>Outremont is an affluent residential borough of the city of Montreal, Quebec, Canada. It consists entirely of the former city on the Island of Montreal in southwestern Quebec. The neighbourhood is inhabited largely by Francophones, and is also ...</v>
    <v>301</v>
    <v>302</v>
    <v>304</v>
    <v>305</v>
    <v>306</v>
    <v>Outremont, Quebec</v>
    <v>307</v>
    <v>Outremont, Quebec</v>
    <v>mdp/vdpid/5293952843273732097</v>
  </rv>
  <rv s="0">
    <v>536870912</v>
    <v>Pierrefonds-Roxboro</v>
    <v>a920dd4b-29fd-5a4e-1feb-4f6ada72e45d</v>
    <v>en-US</v>
    <v>Map</v>
  </rv>
  <rv s="1">
    <fb>27</fb>
    <v>8</v>
  </rv>
  <rv s="2">
    <v>26</v>
    <v>6</v>
    <v>107</v>
    <v>7</v>
    <v>0</v>
    <v>Image of Pierrefonds-Roxboro</v>
  </rv>
  <rv s="0">
    <v>805306368</v>
    <v>Dimitrios Beis (Mayor)</v>
    <v>f5bc23ba-ff6a-331f-6bf2-ad51b960bb9f</v>
    <v>en-US</v>
    <v>Generic</v>
  </rv>
  <rv s="3">
    <v>32</v>
  </rv>
  <rv s="4">
    <v>https://www.bing.com/search?q=pierrefonds-roxboro+montreal+quebec&amp;form=skydnc</v>
    <v>Learn more on Bing</v>
  </rv>
  <rv s="1">
    <fb>-73.816699999999997</fb>
    <v>9</v>
  </rv>
  <rv s="1">
    <fb>69297</fb>
    <v>8</v>
  </rv>
  <rv s="11">
    <v>#VALUE!</v>
    <v>109</v>
    <v>87</v>
    <v>Pierrefonds-Roxboro</v>
    <v>4</v>
    <v>5</v>
    <v>Map</v>
    <v>6</v>
    <v>80</v>
    <v>en-US</v>
    <v>a920dd4b-29fd-5a4e-1feb-4f6ada72e45d</v>
    <v>536870912</v>
    <v>1</v>
    <v>78</v>
    <v>310</v>
    <v>2</v>
    <v>Pierrefonds-Roxboro is a borough of the city of Montreal. It was created January 1, 2006, following the demerger of parts of the city.</v>
    <v>311</v>
    <v>141</v>
    <v>313</v>
    <v>314</v>
    <v>315</v>
    <v>Pierrefonds-Roxboro</v>
    <v>316</v>
    <v>Pierrefonds-Roxboro</v>
    <v>mdp/vdpid/5293927195540979713</v>
  </rv>
  <rv s="0">
    <v>536870912</v>
    <v>Le Plateau-Mont-Royal</v>
    <v>f6a87611-d04f-791c-f1a4-d86abff2ae8f</v>
    <v>en-US</v>
    <v>Map</v>
  </rv>
  <rv s="1">
    <fb>8.1</fb>
    <v>8</v>
  </rv>
  <rv s="2">
    <v>27</v>
    <v>6</v>
    <v>110</v>
    <v>7</v>
    <v>0</v>
    <v>Image of Le Plateau-Mont-Royal</v>
  </rv>
  <rv s="1">
    <fb>45.521599999999999</fb>
    <v>9</v>
  </rv>
  <rv s="0">
    <v>805306368</v>
    <v>Luc Rabouin (Mayor)</v>
    <v>2e65f149-bd34-51e6-46b8-7585aa191a7c</v>
    <v>en-US</v>
    <v>Generic</v>
  </rv>
  <rv s="3">
    <v>33</v>
  </rv>
  <rv s="4">
    <v>https://www.bing.com/search?q=le+plateau-mont-royal+montreal+quebec&amp;form=skydnc</v>
    <v>Learn more on Bing</v>
  </rv>
  <rv s="1">
    <fb>-73.575400000000002</fb>
    <v>9</v>
  </rv>
  <rv s="1">
    <fb>104000</fb>
    <v>8</v>
  </rv>
  <rv s="11">
    <v>#VALUE!</v>
    <v>111</v>
    <v>87</v>
    <v>Le Plateau-Mont-Royal</v>
    <v>4</v>
    <v>5</v>
    <v>Map</v>
    <v>6</v>
    <v>80</v>
    <v>en-US</v>
    <v>f6a87611-d04f-791c-f1a4-d86abff2ae8f</v>
    <v>536870912</v>
    <v>1</v>
    <v>78</v>
    <v>319</v>
    <v>2</v>
    <v>Le Plateau-Mont-Royal is a borough of the city of Montreal, Quebec, Canada. The borough takes its name from its location on a plateau, on the eastern side of Mount Royal and overlooking downtown Montreal, across its southern border. The borough ...</v>
    <v>320</v>
    <v>321</v>
    <v>323</v>
    <v>324</v>
    <v>325</v>
    <v>Le Plateau-Mont-Royal</v>
    <v>326</v>
    <v>Le Plateau-Mont-Royal</v>
    <v>mdp/vdpid/5293952979219513350</v>
  </rv>
  <rv s="0">
    <v>536870912</v>
    <v>Rivière-des-Prairies–Pointe-aux-Trembles</v>
    <v>3d0b0e1e-9300-cc5b-6699-d51de6daa416</v>
    <v>en-US</v>
    <v>Map</v>
  </rv>
  <rv s="1">
    <fb>42.3</fb>
    <v>8</v>
  </rv>
  <rv s="2">
    <v>28</v>
    <v>6</v>
    <v>112</v>
    <v>7</v>
    <v>0</v>
    <v>Image of Rivière-des-Prairies–Pointe-aux-Trembles</v>
  </rv>
  <rv s="1">
    <fb>45.658900000000003</fb>
    <v>9</v>
  </rv>
  <rv s="0">
    <v>805306368</v>
    <v>Caroline Bourgeois (Mayor)</v>
    <v>255c9053-58f3-d7cd-db1c-65952b987f27</v>
    <v>en-US</v>
    <v>Generic</v>
  </rv>
  <rv s="3">
    <v>34</v>
  </rv>
  <rv s="4">
    <v>https://www.bing.com/search?q=rivi%c3%a8re-des-prairies%e2%80%93pointe-aux-trembles+quebec&amp;form=skydnc</v>
    <v>Learn more on Bing</v>
  </rv>
  <rv s="1">
    <fb>-73.520700000000005</fb>
    <v>9</v>
  </rv>
  <rv s="1">
    <fb>106743</fb>
    <v>8</v>
  </rv>
  <rv s="11">
    <v>#VALUE!</v>
    <v>114</v>
    <v>87</v>
    <v>Rivière-des-Prairies–Pointe-aux-Trembles</v>
    <v>4</v>
    <v>5</v>
    <v>Map</v>
    <v>6</v>
    <v>80</v>
    <v>en-US</v>
    <v>3d0b0e1e-9300-cc5b-6699-d51de6daa416</v>
    <v>536870912</v>
    <v>1</v>
    <v>78</v>
    <v>329</v>
    <v>2</v>
    <v>Rivière-des-Prairies–Pointe-aux-Trembles is a suburban borough on the eastern tip of the city of Montreal, Quebec, Canada. It is located at the eastern end of the Island of Montreal.</v>
    <v>330</v>
    <v>331</v>
    <v>333</v>
    <v>334</v>
    <v>335</v>
    <v>Rivière-des-Prairies–Pointe-aux-Trembles</v>
    <v>336</v>
    <v>Rivière-des-Prairies–Pointe-aux-Trembles</v>
    <v>mdp/vdpid/5293949265565974529</v>
  </rv>
  <rv s="0">
    <v>536870912</v>
    <v>Rosemont–La Petite-Patrie</v>
    <v>e1998da2-9c19-3887-a17b-6984f05db7e2</v>
    <v>en-US</v>
    <v>Map</v>
  </rv>
  <rv s="1">
    <fb>15.9</fb>
    <v>8</v>
  </rv>
  <rv s="2">
    <v>29</v>
    <v>6</v>
    <v>115</v>
    <v>7</v>
    <v>0</v>
    <v>Image of Rosemont–La Petite-Patrie</v>
  </rv>
  <rv s="1">
    <fb>45.533722222222003</fb>
    <v>9</v>
  </rv>
  <rv s="0">
    <v>805306368</v>
    <v>François Limoges (Mayor)</v>
    <v>60da8d33-785a-e6e8-567c-47269b0e7f37</v>
    <v>en-US</v>
    <v>Generic</v>
  </rv>
  <rv s="3">
    <v>35</v>
  </rv>
  <rv s="4">
    <v>https://www.bing.com/search?q=rosemont%e2%80%93la+petite-patrie+montreal+quebec&amp;form=skydnc</v>
    <v>Learn more on Bing</v>
  </rv>
  <rv s="1">
    <fb>-73.613</fb>
    <v>9</v>
  </rv>
  <rv s="1">
    <fb>139590</fb>
    <v>8</v>
  </rv>
  <rv s="10">
    <v>#VALUE!</v>
    <v>117</v>
    <v>79</v>
    <v>Rosemont–La Petite-Patrie</v>
    <v>4</v>
    <v>5</v>
    <v>Map</v>
    <v>6</v>
    <v>80</v>
    <v>en-US</v>
    <v>e1998da2-9c19-3887-a17b-6984f05db7e2</v>
    <v>536870912</v>
    <v>1</v>
    <v>78</v>
    <v>339</v>
    <v>2</v>
    <v>Rosemont–La Petite-Patrie is a borough in the city of Montreal, Quebec, Canada. It is located centre-east of the island.</v>
    <v>340</v>
    <v>341</v>
    <v>343</v>
    <v>344</v>
    <v>345</v>
    <v>Rosemont–La Petite-Patrie</v>
    <v>346</v>
    <v>10</v>
    <v>Rosemont–La Petite-Patrie</v>
    <v>mdp/vdpid/5293949940798586884</v>
  </rv>
  <rv s="0">
    <v>536870912</v>
    <v>Saint-Laurent, Quebec</v>
    <v>3f4faead-6ccb-a3ff-fb3a-e2d7a2b8dd13</v>
    <v>en-US</v>
    <v>Map</v>
  </rv>
  <rv s="1">
    <fb>42.88</fb>
    <v>8</v>
  </rv>
  <rv s="2">
    <v>30</v>
    <v>6</v>
    <v>118</v>
    <v>7</v>
    <v>0</v>
    <v>Image of Saint-Laurent, Quebec</v>
  </rv>
  <rv s="1">
    <fb>45.517000000000003</fb>
    <v>9</v>
  </rv>
  <rv s="0">
    <v>805306368</v>
    <v>Alan DeSousa (Mayor)</v>
    <v>bd8951ce-f68d-a33f-c176-a1daa3dfb29f</v>
    <v>en-US</v>
    <v>Generic</v>
  </rv>
  <rv s="3">
    <v>36</v>
  </rv>
  <rv s="4">
    <v>https://www.bing.com/search?q=saint-laurent+quebec&amp;form=skydnc</v>
    <v>Learn more on Bing</v>
  </rv>
  <rv s="1">
    <fb>-73.667000000000002</fb>
    <v>9</v>
  </rv>
  <rv s="1">
    <fb>98828</fb>
    <v>8</v>
  </rv>
  <rv s="10">
    <v>#VALUE!</v>
    <v>120</v>
    <v>79</v>
    <v>Saint-Laurent, Quebec</v>
    <v>4</v>
    <v>5</v>
    <v>Map</v>
    <v>6</v>
    <v>80</v>
    <v>en-US</v>
    <v>3f4faead-6ccb-a3ff-fb3a-e2d7a2b8dd13</v>
    <v>536870912</v>
    <v>1</v>
    <v>78</v>
    <v>349</v>
    <v>2</v>
    <v>Saint-Laurent is a borough of the city of Montreal, Canada, located in the northern part of the island. Although it is no longer an independent city, it is still commonly known as Ville Saint-Laurent or by its initials, VSL.</v>
    <v>350</v>
    <v>351</v>
    <v>353</v>
    <v>354</v>
    <v>355</v>
    <v>Saint-Laurent, Quebec</v>
    <v>356</v>
    <v>10</v>
    <v>Saint-Laurent, Quebec</v>
    <v>mdp/vdpid/5293951227460059137</v>
  </rv>
  <rv s="0">
    <v>536870912</v>
    <v>Saint-Leonard, Quebec</v>
    <v>c6dbca15-47db-47e1-1725-a93a07e26490</v>
    <v>en-US</v>
    <v>Map</v>
  </rv>
  <rv s="1">
    <fb>13.52</fb>
    <v>8</v>
  </rv>
  <rv s="2">
    <v>31</v>
    <v>6</v>
    <v>121</v>
    <v>7</v>
    <v>0</v>
    <v>Image of Saint-Leonard, Quebec</v>
  </rv>
  <rv s="1">
    <fb>45.585799999999999</fb>
    <v>9</v>
  </rv>
  <rv s="0">
    <v>805306368</v>
    <v>Michel Bissonnet (Mayor)</v>
    <v>190b8650-b730-e0f6-33c9-91ab1f81ab9c</v>
    <v>en-US</v>
    <v>Generic</v>
  </rv>
  <rv s="3">
    <v>37</v>
  </rv>
  <rv s="4">
    <v>https://www.bing.com/search?q=saint-l%c3%a9onard+montreal+quebec&amp;form=skydnc</v>
    <v>Learn more on Bing</v>
  </rv>
  <rv s="1">
    <fb>-73.596100000000007</fb>
    <v>9</v>
  </rv>
  <rv s="1">
    <fb>78305</fb>
    <v>8</v>
  </rv>
  <rv s="10">
    <v>#VALUE!</v>
    <v>123</v>
    <v>79</v>
    <v>Saint-Leonard, Quebec</v>
    <v>4</v>
    <v>5</v>
    <v>Map</v>
    <v>6</v>
    <v>80</v>
    <v>en-US</v>
    <v>c6dbca15-47db-47e1-1725-a93a07e26490</v>
    <v>536870912</v>
    <v>1</v>
    <v>78</v>
    <v>359</v>
    <v>2</v>
    <v>Saint-Leonard is a borough of Montreal, Quebec, Canada. Formerly a separate city, it was amalgamated into the city of Montreal in 2002. The former city was originally called Saint-Leonard de Port Maurice after Leonard of Port Maurice, an Italian ...</v>
    <v>360</v>
    <v>361</v>
    <v>363</v>
    <v>364</v>
    <v>365</v>
    <v>Saint-Leonard, Quebec</v>
    <v>366</v>
    <v>10</v>
    <v>Saint-Leonard, Quebec</v>
    <v>mdp/vdpid/5293949699693215745</v>
  </rv>
  <rv s="0">
    <v>536870912</v>
    <v>Le Sud-Ouest</v>
    <v>9f43a7e2-4ea4-0ff2-a478-87b99af06de2</v>
    <v>en-US</v>
    <v>Map</v>
  </rv>
  <rv s="1">
    <fb>15.7</fb>
    <v>8</v>
  </rv>
  <rv s="2">
    <v>32</v>
    <v>6</v>
    <v>124</v>
    <v>7</v>
    <v>0</v>
    <v>Image of Le Sud-Ouest</v>
  </rv>
  <rv s="1">
    <fb>45.455800000000004</fb>
    <v>9</v>
  </rv>
  <rv s="0">
    <v>805306368</v>
    <v>Benoit Dorais (Mayor)</v>
    <v>4d21f801-fb0a-bf7f-b519-c190c6caea95</v>
    <v>en-US</v>
    <v>Generic</v>
  </rv>
  <rv s="3">
    <v>38</v>
  </rv>
  <rv s="4">
    <v>https://www.bing.com/search?q=le+sud-ouest+montreal+quebec&amp;form=skydnc</v>
    <v>Learn more on Bing</v>
  </rv>
  <rv s="1">
    <fb>-73.592500000000001</fb>
    <v>9</v>
  </rv>
  <rv s="1">
    <fb>78151</fb>
    <v>8</v>
  </rv>
  <rv s="11">
    <v>#VALUE!</v>
    <v>126</v>
    <v>87</v>
    <v>Le Sud-Ouest</v>
    <v>4</v>
    <v>5</v>
    <v>Map</v>
    <v>6</v>
    <v>80</v>
    <v>en-US</v>
    <v>9f43a7e2-4ea4-0ff2-a478-87b99af06de2</v>
    <v>536870912</v>
    <v>1</v>
    <v>78</v>
    <v>369</v>
    <v>2</v>
    <v>Le Sud-Ouest is a borough of the city of Montreal, Quebec, Canada.</v>
    <v>370</v>
    <v>371</v>
    <v>373</v>
    <v>374</v>
    <v>375</v>
    <v>Le Sud-Ouest</v>
    <v>376</v>
    <v>Le Sud-Ouest</v>
    <v>mdp/vdpid/5293953279816892417</v>
  </rv>
  <rv s="0">
    <v>536870912</v>
    <v>Verdun, Quebec</v>
    <v>7c96fd3e-82c4-aca2-a569-d85a9af56ac2</v>
    <v>en-US</v>
    <v>Map</v>
  </rv>
  <rv s="1">
    <fb>9.6150000000000002</fb>
    <v>8</v>
  </rv>
  <rv s="2">
    <v>33</v>
    <v>6</v>
    <v>127</v>
    <v>7</v>
    <v>0</v>
    <v>Image of Verdun, Quebec</v>
  </rv>
  <rv s="1">
    <fb>45.459077999999998</fb>
    <v>9</v>
  </rv>
  <rv s="0">
    <v>805306368</v>
    <v>Marie-Andrée Mauger (Mayor)</v>
    <v>79aeec0d-95ca-a290-6f27-105ee3f5cc3f</v>
    <v>en-US</v>
    <v>Generic</v>
  </rv>
  <rv s="3">
    <v>39</v>
  </rv>
  <rv s="4">
    <v>https://www.bing.com/search?q=verdun+quebec&amp;form=skydnc</v>
    <v>Learn more on Bing</v>
  </rv>
  <rv s="1">
    <fb>-73.573177400000006</fb>
    <v>9</v>
  </rv>
  <rv s="1">
    <fb>69106</fb>
    <v>8</v>
  </rv>
  <rv s="10">
    <v>#VALUE!</v>
    <v>128</v>
    <v>79</v>
    <v>Verdun, Quebec</v>
    <v>4</v>
    <v>5</v>
    <v>Map</v>
    <v>6</v>
    <v>80</v>
    <v>en-US</v>
    <v>7c96fd3e-82c4-aca2-a569-d85a9af56ac2</v>
    <v>536870912</v>
    <v>1</v>
    <v>78</v>
    <v>379</v>
    <v>2</v>
    <v>Verdun is a borough of the city of Montreal, Quebec, located in the southwestern part of the island. Long known as a working class neighbourhood, it has experienced significant gentrification and social change in the 21st century.</v>
    <v>380</v>
    <v>381</v>
    <v>383</v>
    <v>384</v>
    <v>385</v>
    <v>Verdun, Quebec</v>
    <v>386</v>
    <v>10</v>
    <v>Verdun, Quebec</v>
    <v>mdp/vdpid/5293953317146198018</v>
  </rv>
  <rv s="0">
    <v>536870912</v>
    <v>Ville-Marie, Montreal</v>
    <v>db72dcf8-7e49-f27b-cca4-810d55ab05d7</v>
    <v>en-US</v>
    <v>Map</v>
  </rv>
  <rv s="1">
    <fb>16.5</fb>
    <v>8</v>
  </rv>
  <rv s="2">
    <v>34</v>
    <v>6</v>
    <v>129</v>
    <v>7</v>
    <v>0</v>
    <v>Image of Ville-Marie, Montreal</v>
  </rv>
  <rv s="1">
    <fb>45.508611111111001</fb>
    <v>9</v>
  </rv>
  <rv s="4">
    <v>https://www.bing.com/search?q=ville-marie%2c+montreal+montreal+quebec&amp;form=skydnc</v>
    <v>Learn more on Bing</v>
  </rv>
  <rv s="1">
    <fb>-73.562777777777995</fb>
    <v>9</v>
  </rv>
  <rv s="1">
    <fb>84013</fb>
    <v>8</v>
  </rv>
  <rv s="11">
    <v>#VALUE!</v>
    <v>130</v>
    <v>87</v>
    <v>Ville-Marie, Montreal</v>
    <v>4</v>
    <v>5</v>
    <v>Map</v>
    <v>6</v>
    <v>96</v>
    <v>en-US</v>
    <v>db72dcf8-7e49-f27b-cca4-810d55ab05d7</v>
    <v>536870912</v>
    <v>1</v>
    <v>78</v>
    <v>389</v>
    <v>2</v>
    <v>Ville-Marie is the name of a borough in the centre of Montreal, Quebec. The borough is named after Fort Ville-Marie, the French settlement that would later become Montreal, which was located within the present-day borough. Old Montreal is a ...</v>
    <v>390</v>
    <v>391</v>
    <v>93</v>
    <v>392</v>
    <v>393</v>
    <v>Ville-Marie, Montreal</v>
    <v>394</v>
    <v>Ville-Marie, Montreal</v>
    <v>mdp/vdpid/5293953341959700483</v>
  </rv>
  <rv s="0">
    <v>536870912</v>
    <v>Villeray–Saint-Michel–Parc-Extension</v>
    <v>5adabaa6-564b-221b-06a9-722babd16ef2</v>
    <v>en-US</v>
    <v>Map</v>
  </rv>
  <rv s="2">
    <v>35</v>
    <v>6</v>
    <v>131</v>
    <v>7</v>
    <v>0</v>
    <v>Image of Villeray–Saint-Michel–Parc-Extension</v>
  </rv>
  <rv s="1">
    <fb>45.549199999999999</fb>
    <v>9</v>
  </rv>
  <rv s="0">
    <v>805306368</v>
    <v>Laurence Lavigne Lalonde (Mayor)</v>
    <v>c2953afe-e76c-830e-4375-ef056db52ad1</v>
    <v>en-US</v>
    <v>Generic</v>
  </rv>
  <rv s="3">
    <v>40</v>
  </rv>
  <rv s="4">
    <v>https://www.bing.com/search?q=villeray%e2%80%93saint-michel%e2%80%93parc-extension+montreal+quebec&amp;form=skydnc</v>
    <v>Learn more on Bing</v>
  </rv>
  <rv s="1">
    <fb>-73.613699999999994</fb>
    <v>9</v>
  </rv>
  <rv s="1">
    <fb>143853</fb>
    <v>8</v>
  </rv>
  <rv s="11">
    <v>#VALUE!</v>
    <v>133</v>
    <v>87</v>
    <v>Villeray–Saint-Michel–Parc-Extension</v>
    <v>4</v>
    <v>5</v>
    <v>Map</v>
    <v>6</v>
    <v>80</v>
    <v>en-US</v>
    <v>5adabaa6-564b-221b-06a9-722babd16ef2</v>
    <v>536870912</v>
    <v>1</v>
    <v>78</v>
    <v>389</v>
    <v>2</v>
    <v>Villeray–Saint-Michel–Parc-Extension is a borough in the city of Montreal, Quebec. It had a population of 143,853 according to the 2016 Census and a land area of 16.5 square kilometres. The borough of Villeray–Saint-Michel–Parc-Extension was ...</v>
    <v>397</v>
    <v>398</v>
    <v>400</v>
    <v>401</v>
    <v>402</v>
    <v>Villeray–Saint-Michel–Parc-Extension</v>
    <v>403</v>
    <v>Villeray–Saint-Michel–Parc-Extension</v>
    <v>mdp/vdpid/5293949906472402945</v>
  </rv>
</rvData>
</file>

<file path=xl/richData/rdrichvaluestructure.xml><?xml version="1.0" encoding="utf-8"?>
<rvStructures xmlns="http://schemas.microsoft.com/office/spreadsheetml/2017/richdata" count="13">
  <s t="_linkedentity2">
    <k n="%EntityServiceId" t="i"/>
    <k n="_DisplayString" t="s"/>
    <k n="%EntityId" t="s"/>
    <k n="%EntityCulture" t="s"/>
    <k n="_Icon" t="s"/>
  </s>
  <s t="_formattednumber">
    <k n="_Format" t="spb"/>
  </s>
  <s t="_webimage">
    <k n="WebImageIdentifier" t="i"/>
    <k n="_Provider" t="spb"/>
    <k n="Attribution" t="spb"/>
    <k n="CalcOrigin" t="i"/>
    <k n="ComputedImage" t="b"/>
    <k n="Text" t="s"/>
  </s>
  <s t="_array">
    <k n="array" t="a"/>
  </s>
  <s t="_hyperlink">
    <k n="Address" t="s"/>
    <k n="Text" t="s"/>
  </s>
  <s t="_linkedentity2core">
    <k n="_CRID" t="e"/>
    <k n="_Attribution" t="spb"/>
    <k n="_Display" t="spb"/>
    <k n="_DisplayString" t="s"/>
    <k n="_Flags" t="spb"/>
    <k n="_Format" t="spb"/>
    <k n="_Icon" t="s"/>
    <k n="_Provider" t="spb"/>
    <k n="_SubLabel" t="spb"/>
    <k n="%EntityCulture" t="s"/>
    <k n="%EntityId" t="s"/>
    <k n="%EntityServiceId" t="i"/>
    <k n="%IsRefreshable" t="b"/>
    <k n="Area" t="r"/>
    <k n="Country/region" t="r"/>
    <k n="Description" t="s"/>
    <k n="Image" t="r"/>
    <k n="Latitude" t="r"/>
    <k n="Leader(s)" t="r"/>
    <k n="LearnMoreOnLink" t="r"/>
    <k n="Longitude" t="r"/>
    <k n="Name" t="s"/>
    <k n="Population" t="r"/>
    <k n="Time zone(s)" t="r"/>
    <k n="UniqueName" t="s"/>
    <k n="VDPID/VSID" t="s"/>
  </s>
  <s t="_linkedentity2core">
    <k n="_CRID" t="e"/>
    <k n="_Attribution" t="spb"/>
    <k n="_Display" t="spb"/>
    <k n="_DisplayString" t="s"/>
    <k n="_Flags" t="spb"/>
    <k n="_Format" t="spb"/>
    <k n="_Icon" t="s"/>
    <k n="_Provider" t="spb"/>
    <k n="_SubLabel" t="spb"/>
    <k n="%EntityCulture" t="s"/>
    <k n="%EntityId" t="s"/>
    <k n="%EntityServiceId" t="i"/>
    <k n="%IsRefreshable" t="b"/>
    <k n="Abbreviation" t="s"/>
    <k n="Agricultural land (%)" t="r"/>
    <k n="Area" t="r"/>
    <k n="Armed forces size" t="r"/>
    <k n="Birth rate" t="r"/>
    <k n="Calling code" t="r"/>
    <k n="Capital/Major City" t="r"/>
    <k n="Carbon dioxide emissions" t="r"/>
    <k n="CPI" t="r"/>
    <k n="CPI Change (%)" t="r"/>
    <k n="Currency code" t="s"/>
    <k n="Description" t="s"/>
    <k n="Electric power consumption" t="r"/>
    <k n="Fertility rate" t="r"/>
    <k n="Forested area (%)" t="r"/>
    <k n="Fossil fuel energy consumption" t="r"/>
    <k n="Gasoline price" t="r"/>
    <k n="GDP" t="r"/>
    <k n="Gross primary education enrollment (%)" t="r"/>
    <k n="Gross tertiary education enrollment (%)" t="r"/>
    <k n="Image" t="r"/>
    <k n="Infant mortality" t="r"/>
    <k n="Largest city" t="r"/>
    <k n="Leader(s)" t="r"/>
    <k n="LearnMoreOnLink" t="r"/>
    <k n="Life expectancy" t="r"/>
    <k n="Market cap of listed companies" t="r"/>
    <k n="Maternal mortality ratio" t="r"/>
    <k n="Minimum wage" t="r"/>
    <k n="Name" t="s"/>
    <k n="National anthem" t="s"/>
    <k n="Official language" t="r"/>
    <k n="Official name" t="s"/>
    <k n="Out of pocket health expenditure (%)" t="r"/>
    <k n="Physicians per thousand" t="r"/>
    <k n="Population" t="r"/>
    <k n="Population: Income share fourth 20%" t="r"/>
    <k n="Population: Income share highest 10%" t="r"/>
    <k n="Population: Income share highest 20%" t="r"/>
    <k n="Population: Income share lowest 10%" t="r"/>
    <k n="Population: Income share lowest 20%" t="r"/>
    <k n="Population: Income share second 20%" t="r"/>
    <k n="Population: Income share third 20%" t="r"/>
    <k n="Population: Labor force participation (%)" t="r"/>
    <k n="Subdivisions" t="r"/>
    <k n="Tax revenue (%)" t="r"/>
    <k n="Time zone(s)" t="r"/>
    <k n="Total tax rate" t="r"/>
    <k n="Unemployment rate" t="r"/>
    <k n="UniqueName" t="s"/>
    <k n="Urban population" t="r"/>
    <k n="VDPID/VSID" t="s"/>
  </s>
  <s t="_linkedentity2core">
    <k n="_CRID" t="e"/>
    <k n="_Attribution" t="spb"/>
    <k n="_Display" t="spb"/>
    <k n="_DisplayString" t="s"/>
    <k n="_Flags" t="spb"/>
    <k n="_Format" t="spb"/>
    <k n="_Icon" t="s"/>
    <k n="_Provider" t="spb"/>
    <k n="_SubLabel" t="spb"/>
    <k n="%EntityCulture" t="s"/>
    <k n="%EntityId" t="s"/>
    <k n="%EntityServiceId" t="i"/>
    <k n="%IsRefreshable" t="b"/>
    <k n="Abbreviation" t="s"/>
    <k n="Area" t="r"/>
    <k n="Building permits" t="r"/>
    <k n="Capital/Major City" t="r"/>
    <k n="Country/region" t="r"/>
    <k n="Description" t="s"/>
    <k n="Households" t="r"/>
    <k n="Housing units" t="r"/>
    <k n="Image" t="r"/>
    <k n="Largest city" t="r"/>
    <k n="Leader(s)" t="r"/>
    <k n="LearnMoreOnLink" t="r"/>
    <k n="Median household income" t="r"/>
    <k n="Name" t="s"/>
    <k n="Official language" t="r"/>
    <k n="Persons per household" t="r"/>
    <k n="Population" t="r"/>
    <k n="Time zone(s)" t="r"/>
    <k n="UniqueName" t="s"/>
    <k n="VDPID/VSID" t="s"/>
  </s>
  <s t="_linkedentity2core">
    <k n="_CRID" t="e"/>
    <k n="_Attribution" t="spb"/>
    <k n="_Display" t="spb"/>
    <k n="_DisplayString" t="s"/>
    <k n="_Flags" t="spb"/>
    <k n="_Format" t="spb"/>
    <k n="_Icon" t="s"/>
    <k n="_Provider" t="spb"/>
    <k n="_SubLabel" t="spb"/>
    <k n="%EntityCulture" t="s"/>
    <k n="%EntityId" t="s"/>
    <k n="%EntityServiceId" t="i"/>
    <k n="%IsRefreshable" t="b"/>
    <k n="Area" t="r"/>
    <k n="Country/region" t="r"/>
    <k n="Description" t="s"/>
    <k n="Image" t="r"/>
    <k n="Latitude" t="r"/>
    <k n="Leader(s)" t="r"/>
    <k n="LearnMoreOnLink" t="r"/>
    <k n="Longitude" t="r"/>
    <k n="Name" t="s"/>
    <k n="Population" t="r"/>
    <k n="UniqueName" t="s"/>
    <k n="VDPID/VSID" t="s"/>
  </s>
  <s t="_linkedentity2core">
    <k n="_CRID" t="e"/>
    <k n="_Attribution" t="spb"/>
    <k n="_Display" t="spb"/>
    <k n="_DisplayString" t="s"/>
    <k n="_Flags" t="spb"/>
    <k n="_Format" t="spb"/>
    <k n="_Icon" t="s"/>
    <k n="_Provider" t="spb"/>
    <k n="_SubLabel" t="spb"/>
    <k n="%EntityCulture" t="s"/>
    <k n="%EntityId" t="s"/>
    <k n="%EntityServiceId" t="i"/>
    <k n="%IsRefreshable" t="b"/>
    <k n="Admin Division 1 (State/province/other)" t="r"/>
    <k n="Area" t="r"/>
    <k n="Country/region" t="r"/>
    <k n="Description" t="s"/>
    <k n="Image" t="r"/>
    <k n="Latitude" t="r"/>
    <k n="Leader(s)" t="r"/>
    <k n="LearnMoreOnLink" t="r"/>
    <k n="Longitude" t="r"/>
    <k n="Name" t="s"/>
    <k n="Population" t="r"/>
    <k n="UniqueName" t="s"/>
    <k n="VDPID/VSID" t="s"/>
  </s>
  <s t="_linkedentity2core">
    <k n="_CRID" t="e"/>
    <k n="_Attribution" t="spb"/>
    <k n="_Display" t="spb"/>
    <k n="_DisplayString" t="s"/>
    <k n="_Flags" t="spb"/>
    <k n="_Format" t="spb"/>
    <k n="_Icon" t="s"/>
    <k n="_Provider" t="spb"/>
    <k n="_SubLabel" t="spb"/>
    <k n="%EntityCulture" t="s"/>
    <k n="%EntityId" t="s"/>
    <k n="%EntityServiceId" t="i"/>
    <k n="%IsRefreshable" t="b"/>
    <k n="Admin Division 2 (County/district/other)" t="r"/>
    <k n="Area" t="r"/>
    <k n="Country/region" t="r"/>
    <k n="Description" t="s"/>
    <k n="Image" t="r"/>
    <k n="Latitude" t="r"/>
    <k n="Leader(s)" t="r"/>
    <k n="LearnMoreOnLink" t="r"/>
    <k n="Longitude" t="r"/>
    <k n="Name" t="s"/>
    <k n="Population" t="r"/>
    <k n="Time zone(s)" t="r"/>
    <k n="UniqueName" t="s"/>
    <k n="VDPID/VSID" t="s"/>
  </s>
  <s t="_linkedentity2core">
    <k n="_CRID" t="e"/>
    <k n="_Attribution" t="spb"/>
    <k n="_Display" t="spb"/>
    <k n="_DisplayString" t="s"/>
    <k n="_Flags" t="spb"/>
    <k n="_Format" t="spb"/>
    <k n="_Icon" t="s"/>
    <k n="_Provider" t="spb"/>
    <k n="_SubLabel" t="spb"/>
    <k n="%EntityCulture" t="s"/>
    <k n="%EntityId" t="s"/>
    <k n="%EntityServiceId" t="i"/>
    <k n="%IsRefreshable" t="b"/>
    <k n="Admin Division 2 (County/district/other)" t="r"/>
    <k n="Area" t="r"/>
    <k n="Country/region" t="r"/>
    <k n="Description" t="s"/>
    <k n="Image" t="r"/>
    <k n="Latitude" t="r"/>
    <k n="Leader(s)" t="r"/>
    <k n="LearnMoreOnLink" t="r"/>
    <k n="Longitude" t="r"/>
    <k n="Name" t="s"/>
    <k n="Population" t="r"/>
    <k n="UniqueName" t="s"/>
    <k n="VDPID/VSID" t="s"/>
  </s>
  <s t="_linkedentity2core">
    <k n="_CRID" t="e"/>
    <k n="_Attribution" t="spb"/>
    <k n="_Display" t="spb"/>
    <k n="_DisplayString" t="s"/>
    <k n="_Flags" t="spb"/>
    <k n="_Format" t="spb"/>
    <k n="_Icon" t="s"/>
    <k n="_Provider" t="spb"/>
    <k n="_SubLabel" t="spb"/>
    <k n="%EntityCulture" t="s"/>
    <k n="%EntityId" t="s"/>
    <k n="%EntityServiceId" t="i"/>
    <k n="%IsRefreshable" t="b"/>
    <k n="Admin Division 2 (County/district/other)" t="r"/>
    <k n="Area" t="r"/>
    <k n="Country/region" t="r"/>
    <k n="Description" t="s"/>
    <k n="Image" t="r"/>
    <k n="Latitude" t="r"/>
    <k n="Leader(s)" t="r"/>
    <k n="LearnMoreOnLink" t="r"/>
    <k n="Longitude" t="r"/>
    <k n="Name" t="s"/>
    <k n="UniqueName" t="s"/>
    <k n="VDPID/VSID" t="s"/>
  </s>
</rvStructures>
</file>

<file path=xl/richData/rdsupportingpropertybag.xml><?xml version="1.0" encoding="utf-8"?>
<supportingPropertyBags xmlns="http://schemas.microsoft.com/office/spreadsheetml/2017/richdata2">
  <spbArrays count="8">
    <a count="25">
      <v t="s">%EntityServiceId</v>
      <v t="s">%IsRefreshable</v>
      <v t="s">%EntityCulture</v>
      <v t="s">%EntityId</v>
      <v t="s">_Icon</v>
      <v t="s">_Provider</v>
      <v t="s">_Attribution</v>
      <v t="s">_Display</v>
      <v t="s">Name</v>
      <v t="s">_Format</v>
      <v t="s">Country/region</v>
      <v t="s">Leader(s)</v>
      <v t="s">_SubLabel</v>
      <v t="s">Population</v>
      <v t="s">Area</v>
      <v t="s">Latitude</v>
      <v t="s">Longitude</v>
      <v t="s">Time zone(s)</v>
      <v t="s">_Flags</v>
      <v t="s">VDPID/VSID</v>
      <v t="s">UniqueName</v>
      <v t="s">_DisplayString</v>
      <v t="s">LearnMoreOnLink</v>
      <v t="s">Image</v>
      <v t="s">Description</v>
    </a>
    <a count="64">
      <v t="s">%EntityServiceId</v>
      <v t="s">%IsRefreshable</v>
      <v t="s">%EntityCulture</v>
      <v t="s">%EntityId</v>
      <v t="s">_Icon</v>
      <v t="s">_Provider</v>
      <v t="s">_Attribution</v>
      <v t="s">_Display</v>
      <v t="s">Name</v>
      <v t="s">_Format</v>
      <v t="s">Capital/Major City</v>
      <v t="s">Leader(s)</v>
      <v t="s">_SubLabel</v>
      <v t="s">Population</v>
      <v t="s">Area</v>
      <v t="s">Abbreviation</v>
      <v t="s">GDP</v>
      <v t="s">Currency code</v>
      <v t="s">Largest city</v>
      <v t="s">National anthem</v>
      <v t="s">Official language</v>
      <v t="s">Official name</v>
      <v t="s">Subdivisions</v>
      <v t="s">Life expectancy</v>
      <v t="s">Birth rate</v>
      <v t="s">Fertility rate</v>
      <v t="s">Infant mortality</v>
      <v t="s">Maternal mortality ratio</v>
      <v t="s">Urban population</v>
      <v t="s">Agricultural land (%)</v>
      <v t="s">Forested area (%)</v>
      <v t="s">Carbon dioxide emissions</v>
      <v t="s">Fossil fuel energy consumption</v>
      <v t="s">Gasoline price</v>
      <v t="s">Electric power consumption</v>
      <v t="s">CPI</v>
      <v t="s">CPI Change (%)</v>
      <v t="s">Population: Income share highest 10%</v>
      <v t="s">Population: Income share highest 20%</v>
      <v t="s">Population: Income share second 20%</v>
      <v t="s">Population: Income share third 20%</v>
      <v t="s">Population: Income share fourth 20%</v>
      <v t="s">Population: Income share lowest 20%</v>
      <v t="s">Population: Income share lowest 10%</v>
      <v t="s">Population: Labor force participation (%)</v>
      <v t="s">Minimum wage</v>
      <v t="s">Tax revenue (%)</v>
      <v t="s">Total tax rate</v>
      <v t="s">Unemployment rate</v>
      <v t="s">Market cap of listed companies</v>
      <v t="s">Gross primary education enrollment (%)</v>
      <v t="s">Gross tertiary education enrollment (%)</v>
      <v t="s">Out of pocket health expenditure (%)</v>
      <v t="s">Physicians per thousand</v>
      <v t="s">Armed forces size</v>
      <v t="s">Time zone(s)</v>
      <v t="s">Calling code</v>
      <v t="s">_Flags</v>
      <v t="s">VDPID/VSID</v>
      <v t="s">UniqueName</v>
      <v t="s">_DisplayString</v>
      <v t="s">LearnMoreOnLink</v>
      <v t="s">Image</v>
      <v t="s">Description</v>
    </a>
    <a count="32">
      <v t="s">%EntityServiceId</v>
      <v t="s">%IsRefreshable</v>
      <v t="s">%EntityCulture</v>
      <v t="s">%EntityId</v>
      <v t="s">_Icon</v>
      <v t="s">_Provider</v>
      <v t="s">_Attribution</v>
      <v t="s">_Display</v>
      <v t="s">Name</v>
      <v t="s">_Format</v>
      <v t="s">Capital/Major City</v>
      <v t="s">Leader(s)</v>
      <v t="s">Country/region</v>
      <v t="s">_SubLabel</v>
      <v t="s">Population</v>
      <v t="s">Area</v>
      <v t="s">Abbreviation</v>
      <v t="s">Largest city</v>
      <v t="s">Official language</v>
      <v t="s">Households</v>
      <v t="s">Housing units</v>
      <v t="s">Persons per household</v>
      <v t="s">Median household income</v>
      <v t="s">Building permits</v>
      <v t="s">Time zone(s)</v>
      <v t="s">_Flags</v>
      <v t="s">VDPID/VSID</v>
      <v t="s">UniqueName</v>
      <v t="s">_DisplayString</v>
      <v t="s">LearnMoreOnLink</v>
      <v t="s">Image</v>
      <v t="s">Description</v>
    </a>
    <a count="24">
      <v t="s">%EntityServiceId</v>
      <v t="s">%IsRefreshable</v>
      <v t="s">%EntityCulture</v>
      <v t="s">%EntityId</v>
      <v t="s">_Icon</v>
      <v t="s">_Provider</v>
      <v t="s">_Attribution</v>
      <v t="s">_Display</v>
      <v t="s">Name</v>
      <v t="s">_Format</v>
      <v t="s">Country/region</v>
      <v t="s">Leader(s)</v>
      <v t="s">_SubLabel</v>
      <v t="s">Population</v>
      <v t="s">Area</v>
      <v t="s">Latitude</v>
      <v t="s">Longitude</v>
      <v t="s">_Flags</v>
      <v t="s">VDPID/VSID</v>
      <v t="s">UniqueName</v>
      <v t="s">_DisplayString</v>
      <v t="s">LearnMoreOnLink</v>
      <v t="s">Image</v>
      <v t="s">Description</v>
    </a>
    <a count="25">
      <v t="s">%EntityServiceId</v>
      <v t="s">%IsRefreshable</v>
      <v t="s">%EntityCulture</v>
      <v t="s">%EntityId</v>
      <v t="s">_Icon</v>
      <v t="s">_Provider</v>
      <v t="s">_Attribution</v>
      <v t="s">_Display</v>
      <v t="s">Name</v>
      <v t="s">_Format</v>
      <v t="s">Admin Division 1 (State/province/other)</v>
      <v t="s">Country/region</v>
      <v t="s">Leader(s)</v>
      <v t="s">_SubLabel</v>
      <v t="s">Population</v>
      <v t="s">Area</v>
      <v t="s">Latitude</v>
      <v t="s">Longitude</v>
      <v t="s">_Flags</v>
      <v t="s">VDPID/VSID</v>
      <v t="s">UniqueName</v>
      <v t="s">_DisplayString</v>
      <v t="s">LearnMoreOnLink</v>
      <v t="s">Image</v>
      <v t="s">Description</v>
    </a>
    <a count="26">
      <v t="s">%EntityServiceId</v>
      <v t="s">%IsRefreshable</v>
      <v t="s">%EntityCulture</v>
      <v t="s">%EntityId</v>
      <v t="s">_Icon</v>
      <v t="s">_Provider</v>
      <v t="s">_Attribution</v>
      <v t="s">_Display</v>
      <v t="s">Name</v>
      <v t="s">_Format</v>
      <v t="s">Admin Division 2 (County/district/other)</v>
      <v t="s">Country/region</v>
      <v t="s">Leader(s)</v>
      <v t="s">_SubLabel</v>
      <v t="s">Population</v>
      <v t="s">Area</v>
      <v t="s">Latitude</v>
      <v t="s">Longitude</v>
      <v t="s">Time zone(s)</v>
      <v t="s">_Flags</v>
      <v t="s">VDPID/VSID</v>
      <v t="s">UniqueName</v>
      <v t="s">_DisplayString</v>
      <v t="s">LearnMoreOnLink</v>
      <v t="s">Image</v>
      <v t="s">Description</v>
    </a>
    <a count="25">
      <v t="s">%EntityServiceId</v>
      <v t="s">%IsRefreshable</v>
      <v t="s">%EntityCulture</v>
      <v t="s">%EntityId</v>
      <v t="s">_Icon</v>
      <v t="s">_Provider</v>
      <v t="s">_Attribution</v>
      <v t="s">_Display</v>
      <v t="s">Name</v>
      <v t="s">_Format</v>
      <v t="s">Admin Division 2 (County/district/other)</v>
      <v t="s">Country/region</v>
      <v t="s">Leader(s)</v>
      <v t="s">_SubLabel</v>
      <v t="s">Population</v>
      <v t="s">Area</v>
      <v t="s">Latitude</v>
      <v t="s">Longitude</v>
      <v t="s">_Flags</v>
      <v t="s">VDPID/VSID</v>
      <v t="s">UniqueName</v>
      <v t="s">_DisplayString</v>
      <v t="s">LearnMoreOnLink</v>
      <v t="s">Image</v>
      <v t="s">Description</v>
    </a>
    <a count="24">
      <v t="s">%EntityServiceId</v>
      <v t="s">%IsRefreshable</v>
      <v t="s">%EntityCulture</v>
      <v t="s">%EntityId</v>
      <v t="s">_Icon</v>
      <v t="s">_Provider</v>
      <v t="s">_Attribution</v>
      <v t="s">_Display</v>
      <v t="s">Name</v>
      <v t="s">_Format</v>
      <v t="s">Admin Division 2 (County/district/other)</v>
      <v t="s">Country/region</v>
      <v t="s">Leader(s)</v>
      <v t="s">_SubLabel</v>
      <v t="s">Area</v>
      <v t="s">Latitude</v>
      <v t="s">Longitude</v>
      <v t="s">_Flags</v>
      <v t="s">VDPID/VSID</v>
      <v t="s">UniqueName</v>
      <v t="s">_DisplayString</v>
      <v t="s">LearnMoreOnLink</v>
      <v t="s">Image</v>
      <v t="s">Description</v>
    </a>
  </spbArrays>
  <spbData count="134">
    <spb s="0">
      <v xml:space="preserve">Wikipedia	</v>
      <v xml:space="preserve">CC BY-SA 3.0	</v>
      <v xml:space="preserve">https://en.wikipedia.org/wiki/Baie-D%27Urf%C3%A9	</v>
      <v xml:space="preserve">https://creativecommons.org/licenses/by-sa/3.0	</v>
    </spb>
    <spb s="1">
      <v>0</v>
      <v>0</v>
      <v>0</v>
      <v>0</v>
      <v>0</v>
      <v>0</v>
      <v>0</v>
      <v>0</v>
    </spb>
    <spb s="2">
      <v>0</v>
      <v>Name</v>
      <v>LearnMoreOnLink</v>
    </spb>
    <spb s="3">
      <v>0</v>
      <v>0</v>
      <v>0</v>
    </spb>
    <spb s="4">
      <v>3</v>
      <v>3</v>
      <v>3</v>
    </spb>
    <spb s="5">
      <v>1</v>
      <v>2</v>
    </spb>
    <spb s="6">
      <v>https://www.bing.com</v>
      <v>https://www.bing.com/th?id=Ga%5Cbing_yt.png&amp;w=100&amp;h=40&amp;c=0&amp;pid=0.1</v>
      <v>Powered by Bing</v>
    </spb>
    <spb s="7">
      <v>square km</v>
      <v>2022</v>
    </spb>
    <spb s="8">
      <v>3</v>
    </spb>
    <spb s="8">
      <v>4</v>
    </spb>
    <spb s="0">
      <v xml:space="preserve">data.worldbank.org	</v>
      <v xml:space="preserve">	</v>
      <v xml:space="preserve">http://data.worldbank.org/indicator/FP.CPI.TOTL	</v>
      <v xml:space="preserve">	</v>
    </spb>
    <spb s="0">
      <v xml:space="preserve">Wikipedia	Cia	travel.state.gov	</v>
      <v xml:space="preserve">CC-BY-SA			</v>
      <v xml:space="preserve">http://en.wikipedia.org/wiki/Canada	https://www.cia.gov/library/publications/the-world-factbook/geos/ca.html?Transportation	https://travel.state.gov/content/travel/en/international-travel/International-Travel-Country-Information-Pages/Canada.html	</v>
      <v xml:space="preserve">http://creativecommons.org/licenses/by-sa/3.0/			</v>
    </spb>
    <spb s="0">
      <v xml:space="preserve">Wikipedia	</v>
      <v xml:space="preserve">CC BY-SA 3.0	</v>
      <v xml:space="preserve">https://en.wikipedia.org/wiki/Canada	</v>
      <v xml:space="preserve">https://creativecommons.org/licenses/by-sa/3.0	</v>
    </spb>
    <spb s="0">
      <v xml:space="preserve">data.worldbank.org	</v>
      <v xml:space="preserve">	</v>
      <v xml:space="preserve">http://data.worldbank.org/indicator/SP.DYN.CBRT.IN	</v>
      <v xml:space="preserve">	</v>
    </spb>
    <spb s="0">
      <v xml:space="preserve">Wikipedia	</v>
      <v xml:space="preserve">CC-BY-SA	</v>
      <v xml:space="preserve">http://en.wikipedia.org/wiki/Canada	</v>
      <v xml:space="preserve">http://creativecommons.org/licenses/by-sa/3.0/	</v>
    </spb>
    <spb s="0">
      <v xml:space="preserve">Cia	</v>
      <v xml:space="preserve">	</v>
      <v xml:space="preserve">https://www.cia.gov/library/publications/the-world-factbook/geos/ca.html?Transportation	</v>
      <v xml:space="preserve">	</v>
    </spb>
    <spb s="0">
      <v xml:space="preserve">data.worldbank.org	</v>
      <v xml:space="preserve">	</v>
      <v xml:space="preserve">http://data.worldbank.org/indicator/SP.DYN.TFRT.IN	</v>
      <v xml:space="preserve">	</v>
    </spb>
    <spb s="0">
      <v xml:space="preserve">data.worldbank.org	</v>
      <v xml:space="preserve">	</v>
      <v xml:space="preserve">http://data.worldbank.org/indicator/SP.DYN.LE00.IN	</v>
      <v xml:space="preserve">	</v>
    </spb>
    <spb s="0">
      <v xml:space="preserve">data.worldbank.org	</v>
      <v xml:space="preserve">	</v>
      <v xml:space="preserve">http://data.worldbank.org/indicator/SP.DYN.IMRT.IN	</v>
      <v xml:space="preserve">	</v>
    </spb>
    <spb s="0">
      <v xml:space="preserve">data.worldbank.org	</v>
      <v xml:space="preserve">	</v>
      <v xml:space="preserve">http://data.worldbank.org/indicator/SP.URB.TOTL	</v>
      <v xml:space="preserve">	</v>
    </spb>
    <spb s="0">
      <v xml:space="preserve">data.worldbank.org	</v>
      <v xml:space="preserve">	</v>
      <v xml:space="preserve">http://data.worldbank.org/indicator/MS.MIL.TOTL.P1	</v>
      <v xml:space="preserve">	</v>
    </spb>
    <spb s="0">
      <v xml:space="preserve">data.worldbank.org	</v>
      <v xml:space="preserve">	</v>
      <v xml:space="preserve">http://data.worldbank.org/indicator/SH.MED.PHYS.ZS	</v>
      <v xml:space="preserve">	</v>
    </spb>
    <spb s="0">
      <v xml:space="preserve">data.worldbank.org	</v>
      <v xml:space="preserve">	</v>
      <v xml:space="preserve">http://data.worldbank.org/indicator/EN.ATM.CO2E.KT	</v>
      <v xml:space="preserve">	</v>
    </spb>
    <spb s="0">
      <v xml:space="preserve">data.worldbank.org	</v>
      <v xml:space="preserve">	</v>
      <v xml:space="preserve">http://data.worldbank.org/indicator/SH.STA.MMRT	</v>
      <v xml:space="preserve">	</v>
    </spb>
    <spb s="0">
      <v xml:space="preserve">data.worldbank.org	</v>
      <v xml:space="preserve">	</v>
      <v xml:space="preserve">http://data.worldbank.org/indicator/EG.USE.ELEC.KH.PC	</v>
      <v xml:space="preserve">	</v>
    </spb>
    <spb s="0">
      <v xml:space="preserve">data.worldbank.org	</v>
      <v xml:space="preserve">	</v>
      <v xml:space="preserve">http://data.worldbank.org/indicator/SL.TLF.CACT.ZS	</v>
      <v xml:space="preserve">	</v>
    </spb>
    <spb s="9">
      <v>10</v>
      <v>11</v>
      <v>12</v>
      <v>12</v>
      <v>13</v>
      <v>12</v>
      <v>12</v>
      <v>12</v>
      <v>14</v>
      <v>12</v>
      <v>12</v>
      <v>14</v>
      <v>12</v>
      <v>12</v>
      <v>15</v>
      <v>16</v>
      <v>11</v>
      <v>15</v>
      <v>17</v>
      <v>12</v>
      <v>15</v>
      <v>18</v>
      <v>19</v>
      <v>20</v>
      <v>15</v>
      <v>15</v>
      <v>12</v>
      <v>15</v>
      <v>21</v>
      <v>22</v>
      <v>23</v>
      <v>24</v>
      <v>15</v>
      <v>11</v>
      <v>15</v>
      <v>15</v>
      <v>15</v>
      <v>15</v>
      <v>15</v>
      <v>15</v>
      <v>15</v>
      <v>15</v>
      <v>15</v>
      <v>15</v>
      <v>25</v>
    </spb>
    <spb s="2">
      <v>1</v>
      <v>Name</v>
      <v>LearnMoreOnLink</v>
    </spb>
    <spb s="10">
      <v>2019</v>
      <v>2019</v>
      <v>square km</v>
      <v>per thousand (2018)</v>
      <v>2022</v>
      <v>2019</v>
      <v>2018</v>
      <v>per liter (2016)</v>
      <v>2019</v>
      <v>years (2018)</v>
      <v>2018</v>
      <v>per thousand (2018)</v>
      <v>2019</v>
      <v>2017</v>
      <v>2016</v>
      <v>2019</v>
      <v>2016</v>
      <v>2017</v>
      <v>kilotons per year (2016)</v>
      <v>deaths per 100,000 (2017)</v>
      <v>kWh (2014)</v>
      <v>2015</v>
      <v>2018</v>
      <v>2013</v>
      <v>2013</v>
      <v>2013</v>
      <v>2013</v>
      <v>2013</v>
      <v>2015</v>
      <v>2013</v>
      <v>2013</v>
      <v>2017</v>
      <v>2017</v>
      <v>2019</v>
    </spb>
    <spb s="8">
      <v>5</v>
    </spb>
    <spb s="8">
      <v>6</v>
    </spb>
    <spb s="8">
      <v>7</v>
    </spb>
    <spb s="8">
      <v>8</v>
    </spb>
    <spb s="8">
      <v>9</v>
    </spb>
    <spb s="8">
      <v>10</v>
    </spb>
    <spb s="8">
      <v>11</v>
    </spb>
    <spb s="8">
      <v>12</v>
    </spb>
    <spb s="0">
      <v xml:space="preserve">Wikipedia	</v>
      <v xml:space="preserve">CC BY-SA 3.0	</v>
      <v xml:space="preserve">https://en.wikipedia.org/wiki/Quebec	</v>
      <v xml:space="preserve">https://creativecommons.org/licenses/by-sa/3.0	</v>
    </spb>
    <spb s="0">
      <v xml:space="preserve">www150.statcan.gc.ca	</v>
      <v xml:space="preserve">	</v>
      <v xml:space="preserve">https://www150.statcan.gc.ca/t1/tbl1/en/tv.action?pid=3410000301	</v>
      <v xml:space="preserve">	</v>
    </spb>
    <spb s="0">
      <v xml:space="preserve">Wikipedia	</v>
      <v xml:space="preserve">CC-BY-SA	</v>
      <v xml:space="preserve">http://en.wikipedia.org/wiki/Quebec	</v>
      <v xml:space="preserve">http://creativecommons.org/licenses/by-sa/3.0/	</v>
    </spb>
    <spb s="0">
      <v xml:space="preserve">Wikipedia	www150.statcan.gc.ca	</v>
      <v xml:space="preserve">CC-BY-SA		</v>
      <v xml:space="preserve">http://en.wikipedia.org/wiki/Quebec	https://www150.statcan.gc.ca/t1/tbl1/en/tv.action?pid=3410000301	</v>
      <v xml:space="preserve">http://creativecommons.org/licenses/by-sa/3.0/		</v>
    </spb>
    <spb s="11">
      <v>37</v>
      <v>37</v>
      <v>38</v>
      <v>37</v>
      <v>37</v>
      <v>37</v>
      <v>39</v>
      <v>37</v>
      <v>38</v>
      <v>37</v>
      <v>38</v>
      <v>37</v>
      <v>38</v>
      <v>40</v>
    </spb>
    <spb s="2">
      <v>2</v>
      <v>Name</v>
      <v>LearnMoreOnLink</v>
    </spb>
    <spb s="12">
      <v>square km</v>
      <v>2016</v>
      <v>2021</v>
      <v>2016</v>
      <v>2017-12</v>
      <v>2016</v>
      <v>2016</v>
    </spb>
    <spb s="8">
      <v>13</v>
    </spb>
    <spb s="0">
      <v xml:space="preserve">Wikipedia	</v>
      <v xml:space="preserve">CC BY-SA 3.0	</v>
      <v xml:space="preserve">https://en.wikipedia.org/wiki/Montreal	</v>
      <v xml:space="preserve">https://creativecommons.org/licenses/by-sa/3.0	</v>
    </spb>
    <spb s="1">
      <v>45</v>
      <v>45</v>
      <v>45</v>
      <v>45</v>
      <v>45</v>
      <v>45</v>
      <v>45</v>
      <v>45</v>
    </spb>
    <spb s="0">
      <v xml:space="preserve">Wikipedia	</v>
      <v xml:space="preserve">CC BY-SA 3.0	</v>
      <v xml:space="preserve">https://en.wikipedia.org/wiki/Beaconsfield,_Quebec	</v>
      <v xml:space="preserve">https://creativecommons.org/licenses/by-sa/3.0	</v>
    </spb>
    <spb s="1">
      <v>47</v>
      <v>47</v>
      <v>47</v>
      <v>47</v>
      <v>47</v>
      <v>47</v>
      <v>47</v>
      <v>47</v>
    </spb>
    <spb s="2">
      <v>3</v>
      <v>Name</v>
      <v>LearnMoreOnLink</v>
    </spb>
    <spb s="0">
      <v xml:space="preserve">Wikipedia	</v>
      <v xml:space="preserve">CC BY-SA 3.0	</v>
      <v xml:space="preserve">https://en.wikipedia.org/wiki/C%C3%B4te_Saint-Luc	</v>
      <v xml:space="preserve">https://creativecommons.org/licenses/by-sa/3.0	</v>
    </spb>
    <spb s="1">
      <v>50</v>
      <v>50</v>
      <v>50</v>
      <v>50</v>
      <v>50</v>
      <v>50</v>
      <v>50</v>
      <v>50</v>
    </spb>
    <spb s="0">
      <v xml:space="preserve">Wikipedia	</v>
      <v xml:space="preserve">CC BY-SA 3.0	</v>
      <v xml:space="preserve">https://en.wikipedia.org/wiki/Dollard-des-Ormeaux	</v>
      <v xml:space="preserve">https://creativecommons.org/licenses/by-sa/3.0	</v>
    </spb>
    <spb s="1">
      <v>52</v>
      <v>52</v>
      <v>52</v>
      <v>52</v>
      <v>52</v>
      <v>52</v>
      <v>52</v>
      <v>52</v>
    </spb>
    <spb s="0">
      <v xml:space="preserve">Wikipedia	</v>
      <v xml:space="preserve">CC BY-SA 3.0	</v>
      <v xml:space="preserve">https://en.wikipedia.org/wiki/Dorval	</v>
      <v xml:space="preserve">https://creativecommons.org/licenses/by-sa/3.0	</v>
    </spb>
    <spb s="1">
      <v>54</v>
      <v>54</v>
      <v>54</v>
      <v>54</v>
      <v>54</v>
      <v>54</v>
      <v>54</v>
      <v>54</v>
    </spb>
    <spb s="0">
      <v xml:space="preserve">Wikipedia	</v>
      <v xml:space="preserve">CC BY-SA 3.0	</v>
      <v xml:space="preserve">https://en.wikipedia.org/wiki/Hampstead,_Quebec	</v>
      <v xml:space="preserve">https://creativecommons.org/licenses/by-sa/3.0	</v>
    </spb>
    <spb s="1">
      <v>56</v>
      <v>56</v>
      <v>56</v>
      <v>56</v>
      <v>56</v>
      <v>56</v>
      <v>56</v>
      <v>56</v>
    </spb>
    <spb s="0">
      <v xml:space="preserve">Wikipedia	</v>
      <v xml:space="preserve">CC BY-SA 3.0	</v>
      <v xml:space="preserve">https://en.wikipedia.org/wiki/Kirkland,_Quebec	</v>
      <v xml:space="preserve">https://creativecommons.org/licenses/by-sa/3.0	</v>
    </spb>
    <spb s="13">
      <v>58</v>
      <v>58</v>
      <v>58</v>
      <v>58</v>
      <v>58</v>
      <v>58</v>
      <v>58</v>
      <v>58</v>
      <v>58</v>
    </spb>
    <spb s="2">
      <v>4</v>
      <v>Name</v>
      <v>LearnMoreOnLink</v>
    </spb>
    <spb s="0">
      <v xml:space="preserve">Wikipedia	</v>
      <v xml:space="preserve">CC BY-SA 3.0	</v>
      <v xml:space="preserve">https://en.wikipedia.org/wiki/Montr%C3%A9al-Est,_Quebec	</v>
      <v xml:space="preserve">https://creativecommons.org/licenses/by-sa/3.0	</v>
    </spb>
    <spb s="1">
      <v>61</v>
      <v>61</v>
      <v>61</v>
      <v>61</v>
      <v>61</v>
      <v>61</v>
      <v>61</v>
      <v>61</v>
    </spb>
    <spb s="0">
      <v xml:space="preserve">Wikipedia	</v>
      <v xml:space="preserve">CC BY-SA 3.0	</v>
      <v xml:space="preserve">https://en.wikipedia.org/wiki/Montreal_West,_Quebec	</v>
      <v xml:space="preserve">https://creativecommons.org/licenses/by-sa/3.0	</v>
    </spb>
    <spb s="1">
      <v>63</v>
      <v>63</v>
      <v>63</v>
      <v>63</v>
      <v>63</v>
      <v>63</v>
      <v>63</v>
      <v>63</v>
    </spb>
    <spb s="0">
      <v xml:space="preserve">Wikipedia	</v>
      <v xml:space="preserve">CC BY-SA 3.0	</v>
      <v xml:space="preserve">https://en.wikipedia.org/wiki/Mount_Royal,_Quebec	</v>
      <v xml:space="preserve">https://creativecommons.org/licenses/by-sa/3.0	</v>
    </spb>
    <spb s="1">
      <v>65</v>
      <v>65</v>
      <v>65</v>
      <v>65</v>
      <v>65</v>
      <v>65</v>
      <v>65</v>
      <v>65</v>
    </spb>
    <spb s="0">
      <v xml:space="preserve">Wikipedia	</v>
      <v xml:space="preserve">CC BY-SA 3.0	</v>
      <v xml:space="preserve">https://en.wikipedia.org/wiki/Pointe-Claire	</v>
      <v xml:space="preserve">https://creativecommons.org/licenses/by-sa/3.0	</v>
    </spb>
    <spb s="1">
      <v>67</v>
      <v>67</v>
      <v>67</v>
      <v>67</v>
      <v>67</v>
      <v>67</v>
      <v>67</v>
      <v>67</v>
    </spb>
    <spb s="0">
      <v xml:space="preserve">Wikipedia	</v>
      <v xml:space="preserve">CC BY-SA 3.0	</v>
      <v xml:space="preserve">https://en.wikipedia.org/wiki/Sainte-Anne-de-Bellevue	</v>
      <v xml:space="preserve">https://creativecommons.org/licenses/by-sa/3.0	</v>
    </spb>
    <spb s="1">
      <v>69</v>
      <v>69</v>
      <v>69</v>
      <v>69</v>
      <v>69</v>
      <v>69</v>
      <v>69</v>
      <v>69</v>
    </spb>
    <spb s="0">
      <v xml:space="preserve">Wikipedia	</v>
      <v xml:space="preserve">CC BY-SA 3.0	</v>
      <v xml:space="preserve">https://en.wikipedia.org/wiki/Senneville,_Quebec	</v>
      <v xml:space="preserve">https://creativecommons.org/licenses/by-sa/3.0	</v>
    </spb>
    <spb s="1">
      <v>71</v>
      <v>71</v>
      <v>71</v>
      <v>71</v>
      <v>71</v>
      <v>71</v>
      <v>71</v>
      <v>71</v>
    </spb>
    <spb s="7">
      <v>square km</v>
      <v>2021</v>
    </spb>
    <spb s="0">
      <v xml:space="preserve">Wikipedia	</v>
      <v xml:space="preserve">CC BY-SA 3.0	</v>
      <v xml:space="preserve">https://en.wikipedia.org/wiki/Westmount	</v>
      <v xml:space="preserve">https://creativecommons.org/licenses/by-sa/3.0	</v>
    </spb>
    <spb s="1">
      <v>74</v>
      <v>74</v>
      <v>74</v>
      <v>74</v>
      <v>74</v>
      <v>74</v>
      <v>74</v>
      <v>74</v>
    </spb>
    <spb s="0">
      <v xml:space="preserve">Wikipedia	</v>
      <v xml:space="preserve">CC BY-SA 3.0	</v>
      <v xml:space="preserve">https://en.wikipedia.org/wiki/Ahuntsic-Cartierville	</v>
      <v xml:space="preserve">https://creativecommons.org/licenses/by-sa/3.0	</v>
    </spb>
    <spb s="0">
      <v xml:space="preserve">Wikipedia	</v>
      <v xml:space="preserve">CC-BY-SA	</v>
      <v xml:space="preserve">http://en.wikipedia.org/wiki/Ahuntsic-Cartierville	</v>
      <v xml:space="preserve">http://creativecommons.org/licenses/by-sa/3.0/	</v>
    </spb>
    <spb s="14">
      <v>76</v>
      <v>76</v>
      <v>76</v>
      <v>76</v>
      <v>77</v>
      <v>76</v>
      <v>76</v>
      <v>76</v>
      <v>76</v>
    </spb>
    <spb s="2">
      <v>5</v>
      <v>Name</v>
      <v>LearnMoreOnLink</v>
    </spb>
    <spb s="7">
      <v>square km</v>
      <v>2016</v>
    </spb>
    <spb s="0">
      <v xml:space="preserve">Wikipedia	</v>
      <v xml:space="preserve">CC BY-SA 3.0	</v>
      <v xml:space="preserve">https://en.wikipedia.org/wiki/Anjou,_Quebec	</v>
      <v xml:space="preserve">https://creativecommons.org/licenses/by-sa/3.0	</v>
    </spb>
    <spb s="0">
      <v xml:space="preserve">Wikipedia	</v>
      <v xml:space="preserve">CC-BY-SA	</v>
      <v xml:space="preserve">http://en.wikipedia.org/wiki/Anjou,_Quebec	</v>
      <v xml:space="preserve">http://creativecommons.org/licenses/by-sa/3.0/	</v>
    </spb>
    <spb s="14">
      <v>81</v>
      <v>81</v>
      <v>81</v>
      <v>81</v>
      <v>82</v>
      <v>81</v>
      <v>81</v>
      <v>81</v>
      <v>81</v>
    </spb>
    <spb s="0">
      <v xml:space="preserve">Wikipedia	</v>
      <v xml:space="preserve">CC BY-SA 3.0	</v>
      <v xml:space="preserve">https://en.wikipedia.org/wiki/C%C3%B4te-des-Neiges%E2%80%93Notre-Dame-de-Gr%C3%A2ce	</v>
      <v xml:space="preserve">https://creativecommons.org/licenses/by-sa/3.0	</v>
    </spb>
    <spb s="0">
      <v xml:space="preserve">Wikipedia	</v>
      <v xml:space="preserve">CC-BY-SA	</v>
      <v xml:space="preserve">http://en.wikipedia.org/wiki/Côte-des-Neiges–Notre-Dame-de-Grâce	</v>
      <v xml:space="preserve">http://creativecommons.org/licenses/by-sa/3.0/	</v>
    </spb>
    <spb s="14">
      <v>84</v>
      <v>84</v>
      <v>84</v>
      <v>84</v>
      <v>85</v>
      <v>84</v>
      <v>84</v>
      <v>84</v>
      <v>84</v>
    </spb>
    <spb s="2">
      <v>6</v>
      <v>Name</v>
      <v>LearnMoreOnLink</v>
    </spb>
    <spb s="0">
      <v xml:space="preserve">Wikipedia	</v>
      <v xml:space="preserve">CC BY-SA 3.0	</v>
      <v xml:space="preserve">https://en.wikipedia.org/wiki/L%27%C3%8Ele-Bizard%E2%80%93Sainte-Genevi%C3%A8ve	</v>
      <v xml:space="preserve">https://creativecommons.org/licenses/by-sa/3.0	</v>
    </spb>
    <spb s="0">
      <v xml:space="preserve">Wikipedia	</v>
      <v xml:space="preserve">CC-BY-SA	</v>
      <v xml:space="preserve">http://en.wikipedia.org/wiki/L'Île-Bizard–Sainte-Geneviève	</v>
      <v xml:space="preserve">http://creativecommons.org/licenses/by-sa/3.0/	</v>
    </spb>
    <spb s="14">
      <v>88</v>
      <v>88</v>
      <v>88</v>
      <v>88</v>
      <v>89</v>
      <v>88</v>
      <v>88</v>
      <v>88</v>
      <v>88</v>
    </spb>
    <spb s="0">
      <v xml:space="preserve">Wikipedia	</v>
      <v xml:space="preserve">CC BY-SA 3.0	</v>
      <v xml:space="preserve">https://en.wikipedia.org/wiki/Lachine,_Quebec	</v>
      <v xml:space="preserve">https://creativecommons.org/licenses/by-sa/3.0	</v>
    </spb>
    <spb s="0">
      <v xml:space="preserve">Wikipedia	</v>
      <v xml:space="preserve">CC-BY-SA	</v>
      <v xml:space="preserve">http://en.wikipedia.org/wiki/Lachine,_Quebec	</v>
      <v xml:space="preserve">http://creativecommons.org/licenses/by-sa/3.0/	</v>
    </spb>
    <spb s="14">
      <v>91</v>
      <v>91</v>
      <v>91</v>
      <v>91</v>
      <v>92</v>
      <v>91</v>
      <v>91</v>
      <v>91</v>
      <v>91</v>
    </spb>
    <spb s="0">
      <v xml:space="preserve">Wikipedia	</v>
      <v xml:space="preserve">CC BY-SA 3.0	</v>
      <v xml:space="preserve">https://en.wikipedia.org/wiki/LaSalle,_Quebec	</v>
      <v xml:space="preserve">https://creativecommons.org/licenses/by-sa/3.0	</v>
    </spb>
    <spb s="14">
      <v>94</v>
      <v>94</v>
      <v>94</v>
      <v>94</v>
      <v>94</v>
      <v>94</v>
      <v>94</v>
      <v>94</v>
      <v>94</v>
    </spb>
    <spb s="7">
      <v>square km</v>
      <v>2011</v>
    </spb>
    <spb s="0">
      <v xml:space="preserve">Wikipedia	</v>
      <v xml:space="preserve">CC BY-SA 3.0	</v>
      <v xml:space="preserve">https://en.wikipedia.org/wiki/Mercier%E2%80%93Hochelaga-Maisonneuve	</v>
      <v xml:space="preserve">https://creativecommons.org/licenses/by-sa/3.0	</v>
    </spb>
    <spb s="15">
      <v>97</v>
      <v>97</v>
      <v>97</v>
      <v>97</v>
      <v>97</v>
      <v>97</v>
      <v>97</v>
      <v>97</v>
    </spb>
    <spb s="2">
      <v>7</v>
      <v>Name</v>
      <v>LearnMoreOnLink</v>
    </spb>
    <spb s="16">
      <v>square km</v>
    </spb>
    <spb s="0">
      <v xml:space="preserve">Wikipedia	</v>
      <v xml:space="preserve">CC BY-SA 3.0	</v>
      <v xml:space="preserve">https://en.wikipedia.org/wiki/Montr%C3%A9al-Nord	</v>
      <v xml:space="preserve">https://creativecommons.org/licenses/by-sa/3.0	</v>
    </spb>
    <spb s="0">
      <v xml:space="preserve">Wikipedia	</v>
      <v xml:space="preserve">CC-BY-SA	</v>
      <v xml:space="preserve">http://en.wikipedia.org/wiki/Montréal-Nord	</v>
      <v xml:space="preserve">http://creativecommons.org/licenses/by-sa/3.0/	</v>
    </spb>
    <spb s="14">
      <v>101</v>
      <v>101</v>
      <v>101</v>
      <v>101</v>
      <v>102</v>
      <v>101</v>
      <v>101</v>
      <v>101</v>
      <v>101</v>
    </spb>
    <spb s="0">
      <v xml:space="preserve">Wikipedia	</v>
      <v xml:space="preserve">CC BY-SA 3.0	</v>
      <v xml:space="preserve">https://en.wikipedia.org/wiki/Outremont,_Quebec	</v>
      <v xml:space="preserve">https://creativecommons.org/licenses/by-sa/3.0	</v>
    </spb>
    <spb s="0">
      <v xml:space="preserve">Wikipedia	</v>
      <v xml:space="preserve">CC-BY-SA	</v>
      <v xml:space="preserve">http://en.wikipedia.org/wiki/Outremont,_Quebec	</v>
      <v xml:space="preserve">http://creativecommons.org/licenses/by-sa/3.0/	</v>
    </spb>
    <spb s="14">
      <v>104</v>
      <v>104</v>
      <v>104</v>
      <v>104</v>
      <v>105</v>
      <v>104</v>
      <v>104</v>
      <v>104</v>
      <v>104</v>
    </spb>
    <spb s="0">
      <v xml:space="preserve">Wikipedia	</v>
      <v xml:space="preserve">CC BY-SA 3.0	</v>
      <v xml:space="preserve">https://en.wikipedia.org/wiki/Pierrefonds-Roxboro	</v>
      <v xml:space="preserve">https://creativecommons.org/licenses/by-sa/3.0	</v>
    </spb>
    <spb s="0">
      <v xml:space="preserve">Wikipedia	</v>
      <v xml:space="preserve">CC-BY-SA	</v>
      <v xml:space="preserve">http://en.wikipedia.org/wiki/Pierrefonds-Roxboro	</v>
      <v xml:space="preserve">http://creativecommons.org/licenses/by-sa/3.0/	</v>
    </spb>
    <spb s="14">
      <v>107</v>
      <v>107</v>
      <v>107</v>
      <v>107</v>
      <v>108</v>
      <v>107</v>
      <v>107</v>
      <v>107</v>
      <v>107</v>
    </spb>
    <spb s="0">
      <v xml:space="preserve">Wikipedia	</v>
      <v xml:space="preserve">CC BY-SA 3.0	</v>
      <v xml:space="preserve">https://en.wikipedia.org/wiki/Le_Plateau-Mont-Royal	</v>
      <v xml:space="preserve">https://creativecommons.org/licenses/by-sa/3.0	</v>
    </spb>
    <spb s="14">
      <v>110</v>
      <v>110</v>
      <v>110</v>
      <v>110</v>
      <v>110</v>
      <v>110</v>
      <v>110</v>
      <v>110</v>
      <v>110</v>
    </spb>
    <spb s="0">
      <v xml:space="preserve">Wikipedia	</v>
      <v xml:space="preserve">CC BY-SA 3.0	</v>
      <v xml:space="preserve">https://en.wikipedia.org/wiki/Rivi%C3%A8re-des-Prairies%E2%80%93Pointe-aux-Trembles	</v>
      <v xml:space="preserve">https://creativecommons.org/licenses/by-sa/3.0	</v>
    </spb>
    <spb s="0">
      <v xml:space="preserve">Wikipedia	</v>
      <v xml:space="preserve">CC-BY-SA	</v>
      <v xml:space="preserve">http://en.wikipedia.org/wiki/Rivière-des-Prairies–Pointe-aux-Trembles	</v>
      <v xml:space="preserve">http://creativecommons.org/licenses/by-sa/3.0/	</v>
    </spb>
    <spb s="14">
      <v>112</v>
      <v>112</v>
      <v>112</v>
      <v>112</v>
      <v>113</v>
      <v>112</v>
      <v>112</v>
      <v>112</v>
      <v>112</v>
    </spb>
    <spb s="0">
      <v xml:space="preserve">Wikipedia	</v>
      <v xml:space="preserve">CC BY-SA 3.0	</v>
      <v xml:space="preserve">https://en.wikipedia.org/wiki/Rosemont%E2%80%93La_Petite-Patrie	</v>
      <v xml:space="preserve">https://creativecommons.org/licenses/by-sa/3.0	</v>
    </spb>
    <spb s="0">
      <v xml:space="preserve">Wikipedia	</v>
      <v xml:space="preserve">CC-BY-SA	</v>
      <v xml:space="preserve">http://en.wikipedia.org/wiki/Rosemont–La_Petite-Patrie	</v>
      <v xml:space="preserve">http://creativecommons.org/licenses/by-sa/3.0/	</v>
    </spb>
    <spb s="14">
      <v>115</v>
      <v>115</v>
      <v>115</v>
      <v>115</v>
      <v>116</v>
      <v>115</v>
      <v>115</v>
      <v>115</v>
      <v>115</v>
    </spb>
    <spb s="0">
      <v xml:space="preserve">Wikipedia	</v>
      <v xml:space="preserve">CC BY-SA 3.0	</v>
      <v xml:space="preserve">https://en.wikipedia.org/wiki/Saint-Laurent,_Quebec	</v>
      <v xml:space="preserve">https://creativecommons.org/licenses/by-sa/3.0	</v>
    </spb>
    <spb s="0">
      <v xml:space="preserve">Wikipedia	</v>
      <v xml:space="preserve">CC-BY-SA	</v>
      <v xml:space="preserve">http://en.wikipedia.org/wiki/Saint-Laurent,_Quebec	</v>
      <v xml:space="preserve">http://creativecommons.org/licenses/by-sa/3.0/	</v>
    </spb>
    <spb s="14">
      <v>118</v>
      <v>118</v>
      <v>118</v>
      <v>118</v>
      <v>119</v>
      <v>118</v>
      <v>118</v>
      <v>118</v>
      <v>118</v>
    </spb>
    <spb s="0">
      <v xml:space="preserve">Wikipedia	</v>
      <v xml:space="preserve">CC BY-SA 3.0	</v>
      <v xml:space="preserve">https://en.wikipedia.org/wiki/Saint-Leonard,_Quebec	</v>
      <v xml:space="preserve">https://creativecommons.org/licenses/by-sa/3.0	</v>
    </spb>
    <spb s="0">
      <v xml:space="preserve">Wikipedia	</v>
      <v xml:space="preserve">CC-BY-SA	</v>
      <v xml:space="preserve">http://en.wikipedia.org/wiki/Saint-Leonard,_Quebec	</v>
      <v xml:space="preserve">http://creativecommons.org/licenses/by-sa/3.0/	</v>
    </spb>
    <spb s="14">
      <v>121</v>
      <v>121</v>
      <v>121</v>
      <v>121</v>
      <v>122</v>
      <v>121</v>
      <v>121</v>
      <v>121</v>
      <v>121</v>
    </spb>
    <spb s="0">
      <v xml:space="preserve">Wikipedia	</v>
      <v xml:space="preserve">CC BY-SA 3.0	</v>
      <v xml:space="preserve">https://en.wikipedia.org/wiki/Le_Sud-Ouest	</v>
      <v xml:space="preserve">https://creativecommons.org/licenses/by-sa/3.0	</v>
    </spb>
    <spb s="0">
      <v xml:space="preserve">Wikipedia	</v>
      <v xml:space="preserve">CC-BY-SA	</v>
      <v xml:space="preserve">http://en.wikipedia.org/wiki/Le_Sud-Ouest	</v>
      <v xml:space="preserve">http://creativecommons.org/licenses/by-sa/3.0/	</v>
    </spb>
    <spb s="14">
      <v>124</v>
      <v>124</v>
      <v>124</v>
      <v>124</v>
      <v>125</v>
      <v>124</v>
      <v>124</v>
      <v>124</v>
      <v>124</v>
    </spb>
    <spb s="0">
      <v xml:space="preserve">Wikipedia	</v>
      <v xml:space="preserve">CC BY-SA 3.0	</v>
      <v xml:space="preserve">https://en.wikipedia.org/wiki/Verdun,_Quebec	</v>
      <v xml:space="preserve">https://creativecommons.org/licenses/by-sa/3.0	</v>
    </spb>
    <spb s="14">
      <v>127</v>
      <v>127</v>
      <v>127</v>
      <v>127</v>
      <v>127</v>
      <v>127</v>
      <v>127</v>
      <v>127</v>
      <v>127</v>
    </spb>
    <spb s="0">
      <v xml:space="preserve">Wikipedia	</v>
      <v xml:space="preserve">CC BY-SA 3.0	</v>
      <v xml:space="preserve">https://en.wikipedia.org/wiki/Ville-Marie,_Montreal	</v>
      <v xml:space="preserve">https://creativecommons.org/licenses/by-sa/3.0	</v>
    </spb>
    <spb s="14">
      <v>129</v>
      <v>129</v>
      <v>129</v>
      <v>129</v>
      <v>129</v>
      <v>129</v>
      <v>129</v>
      <v>129</v>
      <v>129</v>
    </spb>
    <spb s="0">
      <v xml:space="preserve">Wikipedia	</v>
      <v xml:space="preserve">CC BY-SA 3.0	</v>
      <v xml:space="preserve">https://en.wikipedia.org/wiki/Villeray%E2%80%93Saint-Michel%E2%80%93Parc-Extension	</v>
      <v xml:space="preserve">https://creativecommons.org/licenses/by-sa/3.0	</v>
    </spb>
    <spb s="0">
      <v xml:space="preserve">Wikipedia	</v>
      <v xml:space="preserve">CC-BY-SA	</v>
      <v xml:space="preserve">http://en.wikipedia.org/wiki/Villeray–Saint-Michel–Parc-Extension	</v>
      <v xml:space="preserve">http://creativecommons.org/licenses/by-sa/3.0/	</v>
    </spb>
    <spb s="14">
      <v>131</v>
      <v>131</v>
      <v>131</v>
      <v>131</v>
      <v>132</v>
      <v>131</v>
      <v>131</v>
      <v>131</v>
      <v>131</v>
    </spb>
  </spbData>
</supportingPropertyBags>
</file>

<file path=xl/richData/rdsupportingpropertybagstructure.xml><?xml version="1.0" encoding="utf-8"?>
<spbStructures xmlns="http://schemas.microsoft.com/office/spreadsheetml/2017/richdata2" count="17">
  <s>
    <k n="SourceText" t="s"/>
    <k n="LicenseText" t="s"/>
    <k n="SourceAddress" t="s"/>
    <k n="LicenseAddress" t="s"/>
  </s>
  <s>
    <k n="Area" t="spb"/>
    <k n="Name" t="spb"/>
    <k n="Latitude" t="spb"/>
    <k n="Longitude" t="spb"/>
    <k n="Population" t="spb"/>
    <k n="UniqueName" t="spb"/>
    <k n="Description" t="spb"/>
    <k n="Country/region" t="spb"/>
  </s>
  <s>
    <k n="^Order" t="spba"/>
    <k n="TitleProperty" t="s"/>
    <k n="SubTitleProperty" t="s"/>
  </s>
  <s>
    <k n="ShowInCardView" t="b"/>
    <k n="ShowInDotNotation" t="b"/>
    <k n="ShowInAutoComplete" t="b"/>
  </s>
  <s>
    <k n="UniqueName" t="spb"/>
    <k n="VDPID/VSID" t="spb"/>
    <k n="LearnMoreOnLink" t="spb"/>
  </s>
  <s>
    <k n="Name" t="i"/>
    <k n="Image" t="i"/>
  </s>
  <s>
    <k n="link" t="s"/>
    <k n="logo" t="s"/>
    <k n="name" t="s"/>
  </s>
  <s>
    <k n="Area" t="s"/>
    <k n="Population" t="s"/>
  </s>
  <s>
    <k n="_Self" t="i"/>
  </s>
  <s>
    <k n="CPI" t="spb"/>
    <k n="GDP" t="spb"/>
    <k n="Area" t="spb"/>
    <k n="Name" t="spb"/>
    <k n="Birth rate" t="spb"/>
    <k n="Population" t="spb"/>
    <k n="UniqueName" t="spb"/>
    <k n="Description" t="spb"/>
    <k n="Abbreviation" t="spb"/>
    <k n="Calling code" t="spb"/>
    <k n="Largest city" t="spb"/>
    <k n="Minimum wage" t="spb"/>
    <k n="Currency code" t="spb"/>
    <k n="Official name" t="spb"/>
    <k n="CPI Change (%)" t="spb"/>
    <k n="Fertility rate" t="spb"/>
    <k n="Gasoline price" t="spb"/>
    <k n="Total tax rate" t="spb"/>
    <k n="Life expectancy" t="spb"/>
    <k n="National anthem" t="spb"/>
    <k n="Tax revenue (%)" t="spb"/>
    <k n="Infant mortality" t="spb"/>
    <k n="Urban population" t="spb"/>
    <k n="Armed forces size" t="spb"/>
    <k n="Forested area (%)" t="spb"/>
    <k n="Unemployment rate" t="spb"/>
    <k n="Capital/Major City" t="spb"/>
    <k n="Agricultural land (%)" t="spb"/>
    <k n="Physicians per thousand" t="spb"/>
    <k n="Carbon dioxide emissions" t="spb"/>
    <k n="Maternal mortality ratio" t="spb"/>
    <k n="Electric power consumption" t="spb"/>
    <k n="Fossil fuel energy consumption" t="spb"/>
    <k n="Market cap of listed companies" t="spb"/>
    <k n="Population: Income share third 20%" t="spb"/>
    <k n="Population: Income share fourth 20%" t="spb"/>
    <k n="Population: Income share lowest 10%" t="spb"/>
    <k n="Population: Income share lowest 20%" t="spb"/>
    <k n="Population: Income share second 20%" t="spb"/>
    <k n="Out of pocket health expenditure (%)" t="spb"/>
    <k n="Population: Income share highest 10%" t="spb"/>
    <k n="Population: Income share highest 20%" t="spb"/>
    <k n="Gross primary education enrollment (%)" t="spb"/>
    <k n="Gross tertiary education enrollment (%)" t="spb"/>
    <k n="Population: Labor force participation (%)" t="spb"/>
  </s>
  <s>
    <k n="CPI" t="s"/>
    <k n="GDP" t="s"/>
    <k n="Area" t="s"/>
    <k n="Birth rate" t="s"/>
    <k n="Population" t="s"/>
    <k n="CPI Change (%)" t="s"/>
    <k n="Fertility rate" t="s"/>
    <k n="Gasoline price" t="s"/>
    <k n="Total tax rate" t="s"/>
    <k n="Life expectancy" t="s"/>
    <k n="Tax revenue (%)" t="s"/>
    <k n="Infant mortality" t="s"/>
    <k n="Urban population" t="s"/>
    <k n="Armed forces size" t="s"/>
    <k n="Forested area (%)" t="s"/>
    <k n="Unemployment rate" t="s"/>
    <k n="Agricultural land (%)" t="s"/>
    <k n="Physicians per thousand" t="s"/>
    <k n="Carbon dioxide emissions" t="s"/>
    <k n="Maternal mortality ratio" t="s"/>
    <k n="Electric power consumption" t="s"/>
    <k n="Fossil fuel energy consumption" t="s"/>
    <k n="Market cap of listed companies" t="s"/>
    <k n="Population: Income share third 20%" t="s"/>
    <k n="Population: Income share fourth 20%" t="s"/>
    <k n="Population: Income share lowest 10%" t="s"/>
    <k n="Population: Income share lowest 20%" t="s"/>
    <k n="Population: Income share second 20%" t="s"/>
    <k n="Out of pocket health expenditure (%)" t="s"/>
    <k n="Population: Income share highest 10%" t="s"/>
    <k n="Population: Income share highest 20%" t="s"/>
    <k n="Gross primary education enrollment (%)" t="s"/>
    <k n="Gross tertiary education enrollment (%)" t="s"/>
    <k n="Population: Labor force participation (%)" t="s"/>
  </s>
  <s>
    <k n="Area" t="spb"/>
    <k n="Name" t="spb"/>
    <k n="Households" t="spb"/>
    <k n="Population" t="spb"/>
    <k n="UniqueName" t="spb"/>
    <k n="Description" t="spb"/>
    <k n="Abbreviation" t="spb"/>
    <k n="Largest city" t="spb"/>
    <k n="Housing units" t="spb"/>
    <k n="Country/region" t="spb"/>
    <k n="Building permits" t="spb"/>
    <k n="Capital/Major City" t="spb"/>
    <k n="Persons per household" t="spb"/>
    <k n="Median household income" t="spb"/>
  </s>
  <s>
    <k n="Area" t="s"/>
    <k n="Households" t="s"/>
    <k n="Population" t="s"/>
    <k n="Housing units" t="s"/>
    <k n="Building permits" t="s"/>
    <k n="Persons per household" t="s"/>
    <k n="Median household income" t="s"/>
  </s>
  <s>
    <k n="Area" t="spb"/>
    <k n="Name" t="spb"/>
    <k n="Latitude" t="spb"/>
    <k n="Longitude" t="spb"/>
    <k n="Population" t="spb"/>
    <k n="UniqueName" t="spb"/>
    <k n="Description" t="spb"/>
    <k n="Country/region" t="spb"/>
    <k n="Admin Division 1 (State/province/other)" t="spb"/>
  </s>
  <s>
    <k n="Area" t="spb"/>
    <k n="Name" t="spb"/>
    <k n="Latitude" t="spb"/>
    <k n="Longitude" t="spb"/>
    <k n="Population" t="spb"/>
    <k n="UniqueName" t="spb"/>
    <k n="Description" t="spb"/>
    <k n="Country/region" t="spb"/>
    <k n="Admin Division 2 (County/district/other)" t="spb"/>
  </s>
  <s>
    <k n="Area" t="spb"/>
    <k n="Name" t="spb"/>
    <k n="Latitude" t="spb"/>
    <k n="Longitude" t="spb"/>
    <k n="UniqueName" t="spb"/>
    <k n="Description" t="spb"/>
    <k n="Country/region" t="spb"/>
    <k n="Admin Division 2 (County/district/other)" t="spb"/>
  </s>
  <s>
    <k n="Area" t="s"/>
  </s>
</spbStructures>
</file>

<file path=xl/richData/richStyles.xml><?xml version="1.0" encoding="utf-8"?>
<richStyleSheet xmlns="http://schemas.microsoft.com/office/spreadsheetml/2017/richdata2" xmlns:mc="http://schemas.openxmlformats.org/markup-compatibility/2006" xmlns:x="http://schemas.openxmlformats.org/spreadsheetml/2006/main" mc:Ignorable="x">
  <dxfs count="6">
    <x:dxf>
      <x:numFmt numFmtId="3" formatCode="#,##0"/>
    </x:dxf>
    <x:dxf>
      <x:numFmt numFmtId="0" formatCode="General"/>
    </x:dxf>
    <x:dxf>
      <x:numFmt numFmtId="2" formatCode="0.00"/>
    </x:dxf>
    <x:dxf>
      <x:numFmt numFmtId="14" formatCode="0.00%"/>
    </x:dxf>
    <x:dxf>
      <x:numFmt numFmtId="4" formatCode="#,##0.00"/>
    </x:dxf>
    <x:dxf>
      <x:numFmt numFmtId="1" formatCode="0"/>
    </x:dxf>
  </dxfs>
  <richProperties>
    <rPr n="IsTitleField" t="b"/>
    <rPr n="IsHeroField" t="b"/>
    <rPr n="NumberFormat" t="s"/>
  </richProperties>
  <richStyles>
    <rSty>
      <rpv i="0">1</rpv>
    </rSty>
    <rSty>
      <rpv i="1">1</rpv>
    </rSty>
    <rSty dxfid="0">
      <rpv i="2">#,##0</rpv>
    </rSty>
    <rSty dxfid="1">
      <rpv i="2">0.0000</rpv>
    </rSty>
    <rSty dxfid="3">
      <rpv i="2">0.0%</rpv>
    </rSty>
    <rSty dxfid="2">
      <rpv i="2">0.00</rpv>
    </rSty>
    <rSty dxfid="5">
      <rpv i="2">0</rpv>
    </rSty>
    <rSty dxfid="4">
      <rpv i="2">#,##0.00</rpv>
    </rSty>
    <rSty dxfid="1">
      <rpv i="2">0.0</rpv>
    </rSty>
    <rSty dxfid="1">
      <rpv i="2">_([$$-en-US]* #,##0.00_);_([$$-en-US]* (#,##0.00);_([$$-en-US]* "-"??_);_(@_)</rpv>
    </rSty>
    <rSty dxfid="1">
      <rpv i="2">_([$$-en-US]* #,##0_);_([$$-en-US]* (#,##0);_([$$-en-US]* "-"_);_(@_)</rpv>
    </rSty>
    <rSty dxfid="3"/>
    <rSty dxfid="1">
      <rpv i="2">_([$$-en-CA]* #,##0_);_([$$-en-CA]* (#,##0);_([$$-en-CA]* "-"_);_(@_)</rpv>
    </rSty>
  </richStyles>
</richStyleSheet>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trlProp" Target="../ctrlProps/ctrlProp1.xml"/><Relationship Id="rId2" Type="http://schemas.openxmlformats.org/officeDocument/2006/relationships/vmlDrawing" Target="../drawings/vmlDrawing1.vml"/><Relationship Id="rId1" Type="http://schemas.openxmlformats.org/officeDocument/2006/relationships/drawing" Target="../drawings/drawing1.xml"/><Relationship Id="rId4" Type="http://schemas.openxmlformats.org/officeDocument/2006/relationships/ctrlProp" Target="../ctrlProps/ctrlProp2.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18.xml.rels><?xml version="1.0" encoding="UTF-8" standalone="yes"?>
<Relationships xmlns="http://schemas.openxmlformats.org/package/2006/relationships"><Relationship Id="rId3" Type="http://schemas.openxmlformats.org/officeDocument/2006/relationships/ctrlProp" Target="../ctrlProps/ctrlProp3.xml"/><Relationship Id="rId2" Type="http://schemas.openxmlformats.org/officeDocument/2006/relationships/vmlDrawing" Target="../drawings/vmlDrawing2.vml"/><Relationship Id="rId1" Type="http://schemas.openxmlformats.org/officeDocument/2006/relationships/drawing" Target="../drawings/drawing8.xml"/><Relationship Id="rId5" Type="http://schemas.openxmlformats.org/officeDocument/2006/relationships/ctrlProp" Target="../ctrlProps/ctrlProp5.xml"/><Relationship Id="rId4" Type="http://schemas.openxmlformats.org/officeDocument/2006/relationships/ctrlProp" Target="../ctrlProps/ctrlProp4.xml"/></Relationships>
</file>

<file path=xl/worksheets/_rels/sheet19.xml.rels><?xml version="1.0" encoding="UTF-8" standalone="yes"?>
<Relationships xmlns="http://schemas.openxmlformats.org/package/2006/relationships"><Relationship Id="rId8" Type="http://schemas.openxmlformats.org/officeDocument/2006/relationships/hyperlink" Target="https://donnees.montreal.ca/dataset/limites-administratives-agglomeration" TargetMode="External"/><Relationship Id="rId3" Type="http://schemas.openxmlformats.org/officeDocument/2006/relationships/hyperlink" Target="https://donnees.montreal.ca/dataset/pistes-cyclables" TargetMode="External"/><Relationship Id="rId7" Type="http://schemas.openxmlformats.org/officeDocument/2006/relationships/hyperlink" Target="https://www.stm.info/fr/a-propos/developpeurs" TargetMode="External"/><Relationship Id="rId12" Type="http://schemas.openxmlformats.org/officeDocument/2006/relationships/drawing" Target="../drawings/drawing9.xml"/><Relationship Id="rId2" Type="http://schemas.openxmlformats.org/officeDocument/2006/relationships/hyperlink" Target="https://www.velo.qc.ca/wp-content/uploads/2021/06/vq-edv2020-fr.pdf" TargetMode="External"/><Relationship Id="rId1" Type="http://schemas.openxmlformats.org/officeDocument/2006/relationships/hyperlink" Target="https://share.polymtl.ca/alfresco/service/api/path/content;cm:content/workspace/SpacesStore/Company%20Home/Sites/chaire-de-recherche-mobilit-web/documentLibrary/publications/Notes%20de%20recherche/note_recherche_partage_voirie_mtl_2021.pdf?guest=true" TargetMode="External"/><Relationship Id="rId6" Type="http://schemas.openxmlformats.org/officeDocument/2006/relationships/hyperlink" Target="https://www.quebec.ca/gouvernement/gestion-municipale/organisation-municipale/decret-population" TargetMode="External"/><Relationship Id="rId11" Type="http://schemas.openxmlformats.org/officeDocument/2006/relationships/hyperlink" Target="http://www.bv.transports.gouv.qc.ca/per/0935708/20_2018/03_vol_29_no_3_&#233;t&#233;_2018.pdf" TargetMode="External"/><Relationship Id="rId5" Type="http://schemas.openxmlformats.org/officeDocument/2006/relationships/hyperlink" Target="https://www.mamh.gouv.qc.ca/repertoire-des-municipalites/" TargetMode="External"/><Relationship Id="rId10" Type="http://schemas.openxmlformats.org/officeDocument/2006/relationships/hyperlink" Target="https://donnees.montreal.ca/dataset/comptage-vehicules-pietons" TargetMode="External"/><Relationship Id="rId4" Type="http://schemas.openxmlformats.org/officeDocument/2006/relationships/hyperlink" Target="https://observatoire.cmm.qc.ca/produits/portraits-territoriaux/" TargetMode="External"/><Relationship Id="rId9" Type="http://schemas.openxmlformats.org/officeDocument/2006/relationships/hyperlink" Target="https://www.stm.info/sites/default/files/affairespubliques/Communiques/Annexes/annexe_2_fiche_tech._lfs_nova.pdf" TargetMode="External"/></Relationships>
</file>

<file path=xl/worksheets/_rels/sheet20.xml.rels><?xml version="1.0" encoding="UTF-8" standalone="yes"?>
<Relationships xmlns="http://schemas.openxmlformats.org/package/2006/relationships"><Relationship Id="rId3" Type="http://schemas.openxmlformats.org/officeDocument/2006/relationships/hyperlink" Target="https://www.velo.qc.ca/wp-content/uploads/2021/06/vq-edv2020-fr.pdf" TargetMode="External"/><Relationship Id="rId2" Type="http://schemas.openxmlformats.org/officeDocument/2006/relationships/hyperlink" Target="http://ville.montreal.qc.ca/pls/portal/docs/PAGE/MTL_STATS_FR/MEDIA/DOCUMENTS/D%C9PENSESM%C9NAGES_TRANSPORT2016.PDF" TargetMode="External"/><Relationship Id="rId1" Type="http://schemas.openxmlformats.org/officeDocument/2006/relationships/hyperlink" Target="https://statistique.quebec.ca/fr/fichier/nombre-menages-prives-scenario-reference-a2022-17-regions-administratives-quebec-2021-2041.xlsx" TargetMode="External"/><Relationship Id="rId4" Type="http://schemas.openxmlformats.org/officeDocument/2006/relationships/hyperlink" Target="https://www.transports.gouv.qc.ca/fr/entreprises-partenaires/entreprises-reseaux-routier/guides-formulaires/documents-gestionprojetsroutiers/guide-avantages-couts-projets-publics.pdf" TargetMode="External"/></Relationships>
</file>

<file path=xl/worksheets/_rels/sheet21.xml.rels><?xml version="1.0" encoding="UTF-8" standalone="yes"?>
<Relationships xmlns="http://schemas.openxmlformats.org/package/2006/relationships"><Relationship Id="rId2" Type="http://schemas.openxmlformats.org/officeDocument/2006/relationships/hyperlink" Target="https://portail-m4s.s3.montreal.ca/pdf/budget-2023-pdi-2023-2032_web.pdf" TargetMode="External"/><Relationship Id="rId1" Type="http://schemas.openxmlformats.org/officeDocument/2006/relationships/hyperlink" Target="https://spvm.qc.ca/upload/Rapport_activites_2022_SPVM_Final.pdf" TargetMode="External"/></Relationships>
</file>

<file path=xl/worksheets/_rels/sheet22.xml.rels><?xml version="1.0" encoding="UTF-8" standalone="yes"?>
<Relationships xmlns="http://schemas.openxmlformats.org/package/2006/relationships"><Relationship Id="rId1" Type="http://schemas.openxmlformats.org/officeDocument/2006/relationships/hyperlink" Target="https://statistique.quebec.ca/fr/produit/tableau/remuneration-hebdomadaire-horaire-employes-regions-administratives-ensemble-du-quebec" TargetMode="External"/></Relationships>
</file>

<file path=xl/worksheets/_rels/sheet23.xml.rels><?xml version="1.0" encoding="UTF-8" standalone="yes"?>
<Relationships xmlns="http://schemas.openxmlformats.org/package/2006/relationships"><Relationship Id="rId3" Type="http://schemas.openxmlformats.org/officeDocument/2006/relationships/hyperlink" Target="https://portail-m4s.s3.montreal.ca/pdf/budget-2023-pdi-2023-2032_web.pdf" TargetMode="External"/><Relationship Id="rId2" Type="http://schemas.openxmlformats.org/officeDocument/2006/relationships/hyperlink" Target="https://saaq.gouv.qc.ca/blob/saaq/documents/publications/rapport-annuel-gestion-2022.pdf" TargetMode="External"/><Relationship Id="rId1" Type="http://schemas.openxmlformats.org/officeDocument/2006/relationships/hyperlink" Target="https://cdn-contenu.quebec.ca/cdn-contenu/adm/min/transports/ministere-des-transports/publications-amd/rapport-annuel-de-gestion/RA_rapport_annuel_2022-2023_MTMD.pdf" TargetMode="External"/><Relationship Id="rId5" Type="http://schemas.openxmlformats.org/officeDocument/2006/relationships/hyperlink" Target="https://bdso.gouv.qc.ca/pls/ken/ken213_afich_tabl.page_tabl?p_iden_tran=REPERYM9Q4M18173641883114%5dAfCU&amp;p_lang=1&amp;p_m_o=SAAQ&amp;p_id_ss_domn=718&amp;p_id_raprt=3370" TargetMode="External"/><Relationship Id="rId4" Type="http://schemas.openxmlformats.org/officeDocument/2006/relationships/hyperlink" Target="https://saaq.gouv.qc.ca/blob/saaq/documents/publications/espace-recherche/dossier-statistique-2020-bilan-routier.pdf" TargetMode="External"/></Relationships>
</file>

<file path=xl/worksheets/_rels/sheet24.xml.rels><?xml version="1.0" encoding="UTF-8" standalone="yes"?>
<Relationships xmlns="http://schemas.openxmlformats.org/package/2006/relationships"><Relationship Id="rId3" Type="http://schemas.openxmlformats.org/officeDocument/2006/relationships/hyperlink" Target="https://exo.quebec/Medihttps:/exo.quebec/Media/Default/pdf/section8/publications/Budget_2024_VFinale.pdf" TargetMode="External"/><Relationship Id="rId2" Type="http://schemas.openxmlformats.org/officeDocument/2006/relationships/hyperlink" Target="https://www.artm.quebec/wp-content/uploads/2024/03/2567_ARTM_Budget_2024_final_page_WEB.pdf" TargetMode="External"/><Relationship Id="rId1" Type="http://schemas.openxmlformats.org/officeDocument/2006/relationships/hyperlink" Target="https://www.stm.info/sites/default/files/pdf/fr/rf2023.pdf" TargetMode="External"/><Relationship Id="rId5" Type="http://schemas.openxmlformats.org/officeDocument/2006/relationships/hyperlink" Target="https://www.stm.info/sites/default/files/pdf/fr/budget2024.pdf" TargetMode="External"/><Relationship Id="rId4" Type="http://schemas.openxmlformats.org/officeDocument/2006/relationships/hyperlink" Target="https://exo.quebec/Media/Default/pdf/a-propos/medias-publications/publications/EXO_RA2023%20-%20VF_Accessible_revBON.pdf" TargetMode="External"/></Relationships>
</file>

<file path=xl/worksheets/_rels/sheet25.xml.rels><?xml version="1.0" encoding="UTF-8" standalone="yes"?>
<Relationships xmlns="http://schemas.openxmlformats.org/package/2006/relationships"><Relationship Id="rId3" Type="http://schemas.openxmlformats.org/officeDocument/2006/relationships/hyperlink" Target="https://portail-m4s.s3.montreal.ca/pdf/rapport_financier_2022_consolide_-_mamh.pdf" TargetMode="External"/><Relationship Id="rId2" Type="http://schemas.openxmlformats.org/officeDocument/2006/relationships/hyperlink" Target="https://portail-m4s.s3.montreal.ca/pdf/pdi_2023-2032_fiches_web.pdf" TargetMode="External"/><Relationship Id="rId1" Type="http://schemas.openxmlformats.org/officeDocument/2006/relationships/hyperlink" Target="https://portail-m4s.s3.montreal.ca/pdf/budget-2023-pdi-2023-2032_web.pdf" TargetMode="External"/><Relationship Id="rId4" Type="http://schemas.openxmlformats.org/officeDocument/2006/relationships/hyperlink" Target="https://donnees.montreal.ca/dataset/taxes-municipales" TargetMode="External"/></Relationships>
</file>

<file path=xl/worksheets/_rels/sheet27.xml.rels><?xml version="1.0" encoding="UTF-8" standalone="yes"?>
<Relationships xmlns="http://schemas.openxmlformats.org/package/2006/relationships"><Relationship Id="rId3" Type="http://schemas.openxmlformats.org/officeDocument/2006/relationships/hyperlink" Target="https://cdn-contenu.quebec.ca/cdn-contenu/adm/min/transports/ministere-des-transports/publications-amd/Plan_de_mobilite_durable/PL_PMD-plan-action_MTMDET.pdf" TargetMode="External"/><Relationship Id="rId2" Type="http://schemas.openxmlformats.org/officeDocument/2006/relationships/hyperlink" Target="https://www.tresor.gouv.qc.ca/fileadmin/PDF/budget_depenses/23-24/6_Plan_quebecois_infrastructures.pdf" TargetMode="External"/><Relationship Id="rId1" Type="http://schemas.openxmlformats.org/officeDocument/2006/relationships/hyperlink" Target="https://jacquescartierchamplain.ca/site/assets/files/11741/1440_txt_rapport-annuel-web_fr_2022-2023_ac-1.pdf" TargetMode="External"/></Relationships>
</file>

<file path=xl/worksheets/_rels/sheet28.xml.rels><?xml version="1.0" encoding="UTF-8" standalone="yes"?>
<Relationships xmlns="http://schemas.openxmlformats.org/package/2006/relationships"><Relationship Id="rId3" Type="http://schemas.openxmlformats.org/officeDocument/2006/relationships/hyperlink" Target="https://www.transports.gouv.qc.ca/fr/entreprises-partenaires/entreprises-reseaux-routier/guides-formulaires/documents-gestionprojetsroutiers/guide-avantages-couts-projets-publics.pdf" TargetMode="External"/><Relationship Id="rId2" Type="http://schemas.openxmlformats.org/officeDocument/2006/relationships/hyperlink" Target="https://www.stm.info/fr/a-propos/informations-entreprise-et-financieres/rapport-annuel-2023/developpement-durable" TargetMode="External"/><Relationship Id="rId1" Type="http://schemas.openxmlformats.org/officeDocument/2006/relationships/hyperlink" Target="https://portail-m4s.s3.montreal.ca/pdf/vdm_inventaire_ges_collectivite_2022.pdf" TargetMode="External"/><Relationship Id="rId5" Type="http://schemas.openxmlformats.org/officeDocument/2006/relationships/hyperlink" Target="https://www.environnement.gouv.qc.ca/changements/ges/guide-quantification/guide-quantification-ges.pdf" TargetMode="External"/><Relationship Id="rId4" Type="http://schemas.openxmlformats.org/officeDocument/2006/relationships/hyperlink" Target="https://www.canada.ca/fr/environnement-changement-climatique/services/changements-climatiques/recherche-donnees/cout-social-ges.html" TargetMode="External"/></Relationships>
</file>

<file path=xl/worksheets/_rels/sheet29.xml.rels><?xml version="1.0" encoding="UTF-8" standalone="yes"?>
<Relationships xmlns="http://schemas.openxmlformats.org/package/2006/relationships"><Relationship Id="rId2" Type="http://schemas.openxmlformats.org/officeDocument/2006/relationships/hyperlink" Target="https://www.transports.gouv.qc.ca/fr/entreprises-partenaires/entreprises-reseaux-routier/guides-formulaires/documents-gestionprojetsroutiers/guide-avantages-couts-projets-publics.pdf" TargetMode="External"/><Relationship Id="rId1" Type="http://schemas.openxmlformats.org/officeDocument/2006/relationships/hyperlink" Target="http://www.bv.transports.gouv.qc.ca/mono/1165444.pdf"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0.xml.rels><?xml version="1.0" encoding="UTF-8" standalone="yes"?>
<Relationships xmlns="http://schemas.openxmlformats.org/package/2006/relationships"><Relationship Id="rId3" Type="http://schemas.openxmlformats.org/officeDocument/2006/relationships/hyperlink" Target="https://statistique.quebec.ca/fr/produit/tableau/taux-de-mortalite-selon-le-groupe-dage-et-le-sexe-quebec" TargetMode="External"/><Relationship Id="rId2" Type="http://schemas.openxmlformats.org/officeDocument/2006/relationships/hyperlink" Target="https://www.stm.info/sites/default/files/pdf/fr/fiches_arrondissements_2016.pdf" TargetMode="External"/><Relationship Id="rId1" Type="http://schemas.openxmlformats.org/officeDocument/2006/relationships/hyperlink" Target="https://www.heatwalkingcycling.org/tool/" TargetMode="External"/></Relationships>
</file>

<file path=xl/worksheets/_rels/sheet31.xml.rels><?xml version="1.0" encoding="UTF-8" standalone="yes"?>
<Relationships xmlns="http://schemas.openxmlformats.org/package/2006/relationships"><Relationship Id="rId3" Type="http://schemas.openxmlformats.org/officeDocument/2006/relationships/hyperlink" Target="https://saaq.gouv.qc.ca/blob/saaq/documents/publications/tableau-indemnites.pdf" TargetMode="External"/><Relationship Id="rId2" Type="http://schemas.openxmlformats.org/officeDocument/2006/relationships/hyperlink" Target="https://www.transports.gouv.qc.ca/fr/entreprises-partenaires/entreprises-reseaux-routier/guides-formulaires/documents-gestionprojetsroutiers/guide-avantages-couts-projets-publics.pdf" TargetMode="External"/><Relationship Id="rId1" Type="http://schemas.openxmlformats.org/officeDocument/2006/relationships/hyperlink" Target="https://bdso.gouv.qc.ca/pls/ken/ken213_afich_tabl.page_tabl?p_iden_tran=REPERLCAADI27-13346838543525(1&amp;p_lang=1&amp;p_m_o=SAAQ&amp;p_id_ss_domn=718&amp;p_id_raprt=3626" TargetMode="External"/><Relationship Id="rId4" Type="http://schemas.openxmlformats.org/officeDocument/2006/relationships/hyperlink" Target="https://www.vtpi.org/tca/tca0503.pdf" TargetMode="External"/></Relationships>
</file>

<file path=xl/worksheets/_rels/sheet32.xml.rels><?xml version="1.0" encoding="UTF-8" standalone="yes"?>
<Relationships xmlns="http://schemas.openxmlformats.org/package/2006/relationships"><Relationship Id="rId1" Type="http://schemas.openxmlformats.org/officeDocument/2006/relationships/hyperlink" Target="https://www.google.com/url?q=https://www.mamh.gouv.qc.ca/evaluation-fonciere/donnees-statistiques/&amp;sa=D&amp;source=editors&amp;ust=1708533378506303&amp;usg=AOvVaw0CNDuJzFOwunqD91w6j2Q-"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E68435-C65A-7A4D-867F-DE5AEF96B2D5}">
  <sheetPr codeName="Sheet1"/>
  <dimension ref="A1:G25"/>
  <sheetViews>
    <sheetView showGridLines="0" showRowColHeaders="0" topLeftCell="A2" zoomScale="90" zoomScaleNormal="90" workbookViewId="0">
      <selection activeCell="C23" sqref="C23"/>
    </sheetView>
  </sheetViews>
  <sheetFormatPr baseColWidth="10" defaultRowHeight="16"/>
  <cols>
    <col min="1" max="1" width="24.33203125" customWidth="1"/>
    <col min="2" max="2" width="9.1640625" customWidth="1"/>
    <col min="5" max="5" width="47.6640625" customWidth="1"/>
    <col min="6" max="6" width="20.33203125" customWidth="1"/>
    <col min="7" max="7" width="11.5" customWidth="1"/>
    <col min="9" max="9" width="12.33203125" customWidth="1"/>
  </cols>
  <sheetData>
    <row r="1" spans="1:7" ht="47">
      <c r="A1" s="2" t="s">
        <v>1095</v>
      </c>
      <c r="B1" s="2"/>
      <c r="C1" s="2"/>
      <c r="D1" s="2"/>
      <c r="E1" s="2"/>
    </row>
    <row r="3" spans="1:7">
      <c r="A3" s="637" t="s">
        <v>575</v>
      </c>
      <c r="B3" s="637"/>
      <c r="C3" s="637"/>
      <c r="D3" s="637"/>
      <c r="E3" s="637"/>
      <c r="F3" s="637"/>
      <c r="G3" s="637"/>
    </row>
    <row r="4" spans="1:7">
      <c r="A4" s="637"/>
      <c r="B4" s="637"/>
      <c r="C4" s="637"/>
      <c r="D4" s="637"/>
      <c r="E4" s="637"/>
      <c r="F4" s="637"/>
      <c r="G4" s="637"/>
    </row>
    <row r="5" spans="1:7">
      <c r="A5" s="637"/>
      <c r="B5" s="637"/>
      <c r="C5" s="637"/>
      <c r="D5" s="637"/>
      <c r="E5" s="637"/>
      <c r="F5" s="637"/>
      <c r="G5" s="637"/>
    </row>
    <row r="6" spans="1:7">
      <c r="A6" s="637"/>
      <c r="B6" s="637"/>
      <c r="C6" s="637"/>
      <c r="D6" s="637"/>
      <c r="E6" s="637"/>
      <c r="F6" s="637"/>
      <c r="G6" s="637"/>
    </row>
    <row r="7" spans="1:7" ht="24">
      <c r="A7" s="505"/>
    </row>
    <row r="8" spans="1:7">
      <c r="A8" s="3" t="s">
        <v>0</v>
      </c>
    </row>
    <row r="10" spans="1:7">
      <c r="A10" t="s">
        <v>300</v>
      </c>
      <c r="D10" t="s">
        <v>409</v>
      </c>
      <c r="F10" s="402" t="s">
        <v>315</v>
      </c>
      <c r="G10" s="402">
        <v>1</v>
      </c>
    </row>
    <row r="11" spans="1:7">
      <c r="F11" s="402" t="s">
        <v>409</v>
      </c>
      <c r="G11" s="402">
        <v>1</v>
      </c>
    </row>
    <row r="12" spans="1:7">
      <c r="F12" s="123"/>
    </row>
    <row r="13" spans="1:7">
      <c r="F13" s="25"/>
    </row>
    <row r="18" spans="2:3">
      <c r="B18" s="25"/>
    </row>
    <row r="20" spans="2:3">
      <c r="C20" s="25"/>
    </row>
    <row r="25" spans="2:3">
      <c r="B25" s="53"/>
    </row>
  </sheetData>
  <mergeCells count="1">
    <mergeCell ref="A3:G6"/>
  </mergeCells>
  <pageMargins left="0.7" right="0.7" top="0.75" bottom="0.75" header="0.3" footer="0.3"/>
  <pageSetup orientation="portrait" horizontalDpi="0" verticalDpi="0"/>
  <drawing r:id="rId1"/>
  <legacyDrawing r:id="rId2"/>
  <mc:AlternateContent xmlns:mc="http://schemas.openxmlformats.org/markup-compatibility/2006">
    <mc:Choice Requires="x14">
      <controls>
        <mc:AlternateContent xmlns:mc="http://schemas.openxmlformats.org/markup-compatibility/2006">
          <mc:Choice Requires="x14">
            <control shapeId="1040" r:id="rId3" name="Drop Down 16">
              <controlPr defaultSize="0" autoLine="0" autoPict="0">
                <anchor moveWithCells="1">
                  <from>
                    <xdr:col>0</xdr:col>
                    <xdr:colOff>571500</xdr:colOff>
                    <xdr:row>8</xdr:row>
                    <xdr:rowOff>177800</xdr:rowOff>
                  </from>
                  <to>
                    <xdr:col>3</xdr:col>
                    <xdr:colOff>0</xdr:colOff>
                    <xdr:row>10</xdr:row>
                    <xdr:rowOff>12700</xdr:rowOff>
                  </to>
                </anchor>
              </controlPr>
            </control>
          </mc:Choice>
        </mc:AlternateContent>
        <mc:AlternateContent xmlns:mc="http://schemas.openxmlformats.org/markup-compatibility/2006">
          <mc:Choice Requires="x14">
            <control shapeId="1051" r:id="rId4" name="Drop Down 27">
              <controlPr defaultSize="0" autoLine="0" autoPict="0">
                <anchor moveWithCells="1">
                  <from>
                    <xdr:col>4</xdr:col>
                    <xdr:colOff>304800</xdr:colOff>
                    <xdr:row>9</xdr:row>
                    <xdr:rowOff>12700</xdr:rowOff>
                  </from>
                  <to>
                    <xdr:col>4</xdr:col>
                    <xdr:colOff>2463800</xdr:colOff>
                    <xdr:row>10</xdr:row>
                    <xdr:rowOff>12700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CBB037-E55C-114E-B813-1673CBF185B5}">
  <sheetPr codeName="Sheet20">
    <tabColor rgb="FF92D050"/>
  </sheetPr>
  <dimension ref="A1:W48"/>
  <sheetViews>
    <sheetView zoomScale="75" zoomScaleNormal="100" workbookViewId="0">
      <selection activeCell="J17" sqref="J17"/>
    </sheetView>
  </sheetViews>
  <sheetFormatPr baseColWidth="10" defaultRowHeight="16"/>
  <cols>
    <col min="1" max="1" width="34" customWidth="1"/>
    <col min="2" max="2" width="18.5" customWidth="1"/>
    <col min="3" max="3" width="10.33203125" bestFit="1" customWidth="1"/>
    <col min="4" max="4" width="15.1640625" customWidth="1"/>
    <col min="5" max="5" width="14" customWidth="1"/>
    <col min="6" max="6" width="13" customWidth="1"/>
    <col min="7" max="7" width="14.1640625" customWidth="1"/>
    <col min="8" max="8" width="11.5" bestFit="1" customWidth="1"/>
    <col min="9" max="11" width="13.83203125" customWidth="1"/>
    <col min="12" max="12" width="15.5" customWidth="1"/>
    <col min="13" max="13" width="13.83203125" customWidth="1"/>
    <col min="14" max="14" width="17.1640625" customWidth="1"/>
    <col min="15" max="15" width="46.6640625" customWidth="1"/>
    <col min="16" max="16" width="18.83203125" customWidth="1"/>
    <col min="17" max="17" width="21.5" customWidth="1"/>
    <col min="18" max="18" width="17" bestFit="1" customWidth="1"/>
    <col min="19" max="19" width="18.83203125" customWidth="1"/>
    <col min="20" max="23" width="16.33203125" bestFit="1" customWidth="1"/>
  </cols>
  <sheetData>
    <row r="1" spans="1:23">
      <c r="A1" s="501" t="s">
        <v>841</v>
      </c>
    </row>
    <row r="2" spans="1:23" s="114" customFormat="1" ht="68" customHeight="1" thickBot="1">
      <c r="A2" s="285" t="s">
        <v>12</v>
      </c>
      <c r="B2" s="283" t="s">
        <v>457</v>
      </c>
      <c r="C2" s="283" t="s">
        <v>458</v>
      </c>
      <c r="D2" s="283" t="s">
        <v>459</v>
      </c>
      <c r="E2" s="283" t="s">
        <v>460</v>
      </c>
      <c r="F2" s="283" t="s">
        <v>578</v>
      </c>
      <c r="G2" s="283" t="s">
        <v>462</v>
      </c>
      <c r="H2" s="138" t="s">
        <v>465</v>
      </c>
      <c r="I2" s="138" t="s">
        <v>464</v>
      </c>
      <c r="J2" s="138" t="s">
        <v>572</v>
      </c>
      <c r="K2" s="138" t="s">
        <v>570</v>
      </c>
      <c r="L2" s="138" t="s">
        <v>571</v>
      </c>
      <c r="M2" s="138" t="s">
        <v>656</v>
      </c>
      <c r="N2" s="138" t="s">
        <v>1071</v>
      </c>
      <c r="O2" s="138" t="s">
        <v>634</v>
      </c>
      <c r="P2" s="138"/>
      <c r="Q2" s="138"/>
      <c r="R2" s="138"/>
    </row>
    <row r="3" spans="1:23" ht="17" customHeight="1">
      <c r="A3" s="298" t="s">
        <v>202</v>
      </c>
      <c r="B3" s="54">
        <f>'Privé - Achat&amp;Utilisation'!$C$9</f>
        <v>205.07379999999998</v>
      </c>
      <c r="C3" s="54">
        <f>'Privé - Contravention'!$D$8+'Caché - Accident'!$D$6</f>
        <v>199.67778886260805</v>
      </c>
      <c r="D3" s="282">
        <f>'Privé - Temps'!D19</f>
        <v>2365.1523623886969</v>
      </c>
      <c r="E3" s="54">
        <f>'Indirect - Villes'!M13+'Indirect - Villes'!U13+'Indirect - Prov. &amp; Féd.'!$D$8+'Indirect - Prov. &amp; Féd.'!$D$10</f>
        <v>786.06287538405513</v>
      </c>
      <c r="F3" s="54">
        <f>'Caché - Accident'!$D$7+'Caché - Emprise spatiale'!N17</f>
        <v>769.57224819061355</v>
      </c>
      <c r="G3" s="54">
        <f>-'Caché - Santé'!D25</f>
        <v>-1893.2700931294048</v>
      </c>
      <c r="H3" s="54">
        <f>SUM(B3:D3)</f>
        <v>2769.903951251305</v>
      </c>
      <c r="I3" s="54">
        <f>SUM(E3:G3)</f>
        <v>-337.63496955473602</v>
      </c>
      <c r="J3" s="54">
        <f>I3/H3</f>
        <v>-0.12189410733979036</v>
      </c>
      <c r="K3" s="54">
        <f>H3/('Clés de répartition'!H93*2*'Privé - Temps'!$B$11)</f>
        <v>1.0615448101680744</v>
      </c>
      <c r="L3" s="54">
        <f>I3/('Clés de répartition'!H93*2*'Privé - Temps'!$B$11)</f>
        <v>-0.12939605703662466</v>
      </c>
      <c r="M3" s="366">
        <f>L3/$L$3</f>
        <v>1</v>
      </c>
      <c r="N3" s="366">
        <f>('Auto - résumé'!K3+'Auto - résumé'!L3)/(L3+K3)</f>
        <v>2.7060834111191938</v>
      </c>
      <c r="O3" s="21"/>
      <c r="P3" s="21"/>
      <c r="Q3" s="53"/>
      <c r="R3" s="447"/>
      <c r="S3" s="54"/>
      <c r="T3" s="54"/>
      <c r="U3" s="54"/>
      <c r="V3" s="54"/>
    </row>
    <row r="4" spans="1:23">
      <c r="A4" s="19" t="e" vm="1">
        <v>#VALUE!</v>
      </c>
      <c r="B4" s="54">
        <f>'Privé - Achat&amp;Utilisation'!$C$9</f>
        <v>205.07379999999998</v>
      </c>
      <c r="C4" s="54">
        <f>'Privé - Contravention'!$D$8+'Caché - Accident'!$D$6</f>
        <v>199.67778886260805</v>
      </c>
      <c r="D4" s="282">
        <f>'Privé - Temps'!D20</f>
        <v>1359.4352953136083</v>
      </c>
      <c r="E4" s="54">
        <f>'Indirect - Villes'!M14+'Indirect - Villes'!U14+'Indirect - Prov. &amp; Féd.'!$D$8+'Indirect - Prov. &amp; Féd.'!$D$10</f>
        <v>2064.7757166696624</v>
      </c>
      <c r="F4" s="54">
        <f>'Caché - Accident'!$D$7+'Caché - Emprise spatiale'!N18</f>
        <v>741.78980006438974</v>
      </c>
      <c r="G4" s="54">
        <f>-'Caché - Santé'!D26</f>
        <v>-1327.367142041787</v>
      </c>
      <c r="H4" s="54">
        <f t="shared" ref="H4:H38" si="0">SUM(B4:D4)</f>
        <v>1764.1868841762164</v>
      </c>
      <c r="I4" s="54">
        <f>SUM(E4:G4)</f>
        <v>1479.1983746922649</v>
      </c>
      <c r="J4" s="54">
        <f t="shared" ref="J4:J38" si="1">I4/H4</f>
        <v>0.83845900225189218</v>
      </c>
      <c r="K4" s="54">
        <f>H4/('Clés de répartition'!H94*2*'Privé - Temps'!$B$11)</f>
        <v>0.96436118615562327</v>
      </c>
      <c r="L4" s="54">
        <f>I4/('Clés de répartition'!H94*2*'Privé - Temps'!$B$11)</f>
        <v>0.80857731795449517</v>
      </c>
      <c r="M4" s="366">
        <f t="shared" ref="M4:M38" si="2">L4/$L$3</f>
        <v>-6.2488559270831026</v>
      </c>
      <c r="N4" s="366">
        <f>('Auto - résumé'!K4+'Auto - résumé'!L4)/(L4+K4)</f>
        <v>1.2796415557750873</v>
      </c>
      <c r="O4" s="21"/>
      <c r="Q4" s="53"/>
      <c r="R4" s="16"/>
      <c r="S4" s="54"/>
      <c r="T4" s="448"/>
      <c r="U4" s="54"/>
    </row>
    <row r="5" spans="1:23">
      <c r="A5" s="19" t="e" vm="2">
        <v>#VALUE!</v>
      </c>
      <c r="B5" s="54">
        <f>'Privé - Achat&amp;Utilisation'!$C$9</f>
        <v>205.07379999999998</v>
      </c>
      <c r="C5" s="54">
        <f>'Privé - Contravention'!$D$8+'Caché - Accident'!$D$6</f>
        <v>199.67778886260805</v>
      </c>
      <c r="D5" s="282">
        <f>'Privé - Temps'!D21</f>
        <v>2144.5088306176035</v>
      </c>
      <c r="E5" s="54">
        <f>'Indirect - Villes'!M15+'Indirect - Villes'!U15+'Indirect - Prov. &amp; Féd.'!$D$8+'Indirect - Prov. &amp; Féd.'!$D$10</f>
        <v>1658.5948237256216</v>
      </c>
      <c r="F5" s="54">
        <f>'Caché - Accident'!$D$7+'Caché - Emprise spatiale'!N19</f>
        <v>1849.6335392731307</v>
      </c>
      <c r="G5" s="54">
        <f>-'Caché - Santé'!D27</f>
        <v>-2125.9138398744276</v>
      </c>
      <c r="H5" s="54">
        <f t="shared" si="0"/>
        <v>2549.2604194802116</v>
      </c>
      <c r="I5" s="54">
        <f t="shared" ref="I5:I38" si="3">SUM(E5:G5)</f>
        <v>1382.3145231243248</v>
      </c>
      <c r="J5" s="54">
        <f t="shared" si="1"/>
        <v>0.54224139384166004</v>
      </c>
      <c r="K5" s="54">
        <f>H5/('Clés de répartition'!H95*2*'Privé - Temps'!$B$11)</f>
        <v>0.87007109316226305</v>
      </c>
      <c r="L5" s="54">
        <f>I5/('Clés de répartition'!H95*2*'Privé - Temps'!$B$11)</f>
        <v>0.47178856229764232</v>
      </c>
      <c r="M5" s="366">
        <f t="shared" si="2"/>
        <v>-3.6460814425288541</v>
      </c>
      <c r="N5" s="366">
        <f>('Auto - résumé'!K5+'Auto - résumé'!L5)/(L5+K5)</f>
        <v>1.3912578001699596</v>
      </c>
      <c r="O5" s="21"/>
      <c r="Q5" s="53"/>
      <c r="R5" s="16"/>
      <c r="S5" s="54"/>
      <c r="T5" s="292"/>
      <c r="U5" s="54"/>
    </row>
    <row r="6" spans="1:23">
      <c r="A6" s="19" t="e" vm="3">
        <v>#VALUE!</v>
      </c>
      <c r="B6" s="54">
        <f>'Privé - Achat&amp;Utilisation'!$C$9</f>
        <v>205.07379999999998</v>
      </c>
      <c r="C6" s="54">
        <f>'Privé - Contravention'!$D$8+'Caché - Accident'!$D$6</f>
        <v>199.67778886260805</v>
      </c>
      <c r="D6" s="282">
        <f>'Privé - Temps'!D22</f>
        <v>2339.6992934542614</v>
      </c>
      <c r="E6" s="54">
        <f>'Indirect - Villes'!M16+'Indirect - Villes'!U16+'Indirect - Prov. &amp; Féd.'!$D$8+'Indirect - Prov. &amp; Féd.'!$D$10</f>
        <v>1271.6148018757719</v>
      </c>
      <c r="F6" s="54">
        <f>'Caché - Accident'!$D$7+'Caché - Emprise spatiale'!N20</f>
        <v>297.78421407438083</v>
      </c>
      <c r="G6" s="54">
        <f>-'Caché - Santé'!D28</f>
        <v>-1937.8878253757318</v>
      </c>
      <c r="H6" s="54">
        <f t="shared" si="0"/>
        <v>2744.4508823168694</v>
      </c>
      <c r="I6" s="54">
        <f t="shared" si="3"/>
        <v>-368.48880942557912</v>
      </c>
      <c r="J6" s="54">
        <f t="shared" si="1"/>
        <v>-0.13426686256250298</v>
      </c>
      <c r="K6" s="54">
        <f>H6/('Clés de répartition'!H96*2*'Privé - Temps'!$B$11)</f>
        <v>1.0275738047370073</v>
      </c>
      <c r="L6" s="54">
        <f>I6/('Clés de répartition'!H96*2*'Privé - Temps'!$B$11)</f>
        <v>-0.13796911081345203</v>
      </c>
      <c r="M6" s="366">
        <f t="shared" si="2"/>
        <v>1.0662543664247885</v>
      </c>
      <c r="N6" s="366">
        <f>('Auto - résumé'!K6+'Auto - résumé'!L6)/(L6+K6)</f>
        <v>2.8638843232753901</v>
      </c>
      <c r="O6" s="21"/>
      <c r="P6" s="54"/>
      <c r="Q6" s="53"/>
      <c r="R6" s="16"/>
      <c r="S6" s="54"/>
      <c r="T6" s="292"/>
      <c r="U6" s="54"/>
    </row>
    <row r="7" spans="1:23">
      <c r="A7" s="19" t="e" vm="4">
        <v>#VALUE!</v>
      </c>
      <c r="B7" s="54">
        <f>'Privé - Achat&amp;Utilisation'!$C$9</f>
        <v>205.07379999999998</v>
      </c>
      <c r="C7" s="54">
        <f>'Privé - Contravention'!$D$8+'Caché - Accident'!$D$6</f>
        <v>199.67778886260805</v>
      </c>
      <c r="D7" s="282">
        <f>'Privé - Temps'!D23</f>
        <v>4989.6569220430092</v>
      </c>
      <c r="E7" s="54">
        <f>'Indirect - Villes'!M17+'Indirect - Villes'!U17+'Indirect - Prov. &amp; Féd.'!$D$8+'Indirect - Prov. &amp; Féd.'!$D$10</f>
        <v>1083.4302526643139</v>
      </c>
      <c r="F7" s="54">
        <f>'Caché - Accident'!$D$7+'Caché - Emprise spatiale'!N21</f>
        <v>3542.4974597632422</v>
      </c>
      <c r="G7" s="54">
        <f>-'Caché - Santé'!D29</f>
        <v>-4560.316248782301</v>
      </c>
      <c r="H7" s="54">
        <f t="shared" si="0"/>
        <v>5394.4085109056177</v>
      </c>
      <c r="I7" s="54">
        <f t="shared" si="3"/>
        <v>65.611463645254844</v>
      </c>
      <c r="J7" s="54">
        <f t="shared" si="1"/>
        <v>1.2162865217309977E-2</v>
      </c>
      <c r="K7" s="54">
        <f>H7/('Clés de répartition'!H97*2*'Privé - Temps'!$B$11)</f>
        <v>0.85829200480825718</v>
      </c>
      <c r="L7" s="54">
        <f>I7/('Clés de répartition'!H97*2*'Privé - Temps'!$B$11)</f>
        <v>1.0439289971577599E-2</v>
      </c>
      <c r="M7" s="366">
        <f t="shared" si="2"/>
        <v>-8.0677033061547082E-2</v>
      </c>
      <c r="N7" s="366">
        <f>('Auto - résumé'!K7+'Auto - résumé'!L7)/(L7+K7)</f>
        <v>2.3597602834374189</v>
      </c>
      <c r="O7" s="21"/>
      <c r="P7" s="54"/>
      <c r="Q7" s="53"/>
      <c r="R7" s="16"/>
      <c r="T7" s="292"/>
      <c r="U7" s="54"/>
    </row>
    <row r="8" spans="1:23">
      <c r="A8" s="19" t="e" vm="5">
        <v>#VALUE!</v>
      </c>
      <c r="B8" s="54">
        <f>'Privé - Achat&amp;Utilisation'!$C$9</f>
        <v>205.07379999999998</v>
      </c>
      <c r="C8" s="54">
        <f>'Privé - Contravention'!$D$8+'Caché - Accident'!$D$6</f>
        <v>199.67778886260805</v>
      </c>
      <c r="D8" s="282">
        <f>'Privé - Temps'!D24</f>
        <v>2932.5436745222219</v>
      </c>
      <c r="E8" s="54">
        <f>'Indirect - Villes'!M18+'Indirect - Villes'!U18+'Indirect - Prov. &amp; Féd.'!$D$8+'Indirect - Prov. &amp; Féd.'!$D$10</f>
        <v>1245.9593395881357</v>
      </c>
      <c r="F8" s="54">
        <f>'Caché - Accident'!$D$7+'Caché - Emprise spatiale'!N22</f>
        <v>673.18093831166743</v>
      </c>
      <c r="G8" s="54">
        <f>-'Caché - Santé'!D30</f>
        <v>-2662.966064001731</v>
      </c>
      <c r="H8" s="54">
        <f t="shared" si="0"/>
        <v>3337.2952633848299</v>
      </c>
      <c r="I8" s="54">
        <f t="shared" si="3"/>
        <v>-743.82578610192786</v>
      </c>
      <c r="J8" s="54">
        <f t="shared" si="1"/>
        <v>-0.22288282198546239</v>
      </c>
      <c r="K8" s="54">
        <f>H8/('Clés de répartition'!H98*2*'Privé - Temps'!$B$11)</f>
        <v>0.90931676116332849</v>
      </c>
      <c r="L8" s="54">
        <f>I8/('Clés de répartition'!H98*2*'Privé - Temps'!$B$11)</f>
        <v>-0.20267108580676335</v>
      </c>
      <c r="M8" s="366">
        <f t="shared" si="2"/>
        <v>1.566284865615331</v>
      </c>
      <c r="N8" s="366">
        <f>('Auto - résumé'!K8+'Auto - résumé'!L8)/(L8+K8)</f>
        <v>3.198462856269304</v>
      </c>
      <c r="O8" s="21"/>
      <c r="Q8" s="53"/>
      <c r="R8" s="16"/>
      <c r="T8" s="292"/>
      <c r="U8" s="54"/>
    </row>
    <row r="9" spans="1:23">
      <c r="A9" s="19" t="e" vm="6">
        <v>#VALUE!</v>
      </c>
      <c r="B9" s="54">
        <f>'Privé - Achat&amp;Utilisation'!$C$9</f>
        <v>205.07379999999998</v>
      </c>
      <c r="C9" s="54">
        <f>'Privé - Contravention'!$D$8+'Caché - Accident'!$D$6</f>
        <v>199.67778886260805</v>
      </c>
      <c r="D9" s="282">
        <f>'Privé - Temps'!D25</f>
        <v>3420.6242449448414</v>
      </c>
      <c r="E9" s="54">
        <f>'Indirect - Villes'!M19+'Indirect - Villes'!U19+'Indirect - Prov. &amp; Féd.'!$D$8+'Indirect - Prov. &amp; Féd.'!$D$10</f>
        <v>625.1173389984508</v>
      </c>
      <c r="F9" s="54">
        <f>'Caché - Accident'!$D$7+'Caché - Emprise spatiale'!N23</f>
        <v>1024.8801344787321</v>
      </c>
      <c r="G9" s="54">
        <f>-'Caché - Santé'!D31</f>
        <v>-2772.4080389262431</v>
      </c>
      <c r="H9" s="54">
        <f t="shared" si="0"/>
        <v>3825.3758338074495</v>
      </c>
      <c r="I9" s="54">
        <f t="shared" si="3"/>
        <v>-1122.4105654490602</v>
      </c>
      <c r="J9" s="54">
        <f t="shared" si="1"/>
        <v>-0.29341184087836658</v>
      </c>
      <c r="K9" s="54">
        <f>H9/('Clés de répartition'!H99*2*'Privé - Temps'!$B$11)</f>
        <v>1.0011592326711509</v>
      </c>
      <c r="L9" s="54">
        <f>I9/('Clés de répartition'!H99*2*'Privé - Temps'!$B$11)</f>
        <v>-0.29375197347041532</v>
      </c>
      <c r="M9" s="366">
        <f t="shared" si="2"/>
        <v>2.2701771614823691</v>
      </c>
      <c r="N9" s="366">
        <f>('Auto - résumé'!K9+'Auto - résumé'!L9)/(L9+K9)</f>
        <v>5.8102208938175206</v>
      </c>
      <c r="O9" s="21"/>
      <c r="P9" s="54"/>
      <c r="Q9" s="53"/>
      <c r="R9" s="16"/>
      <c r="T9" s="292"/>
      <c r="U9" s="54"/>
    </row>
    <row r="10" spans="1:23">
      <c r="A10" s="19" t="e" vm="7">
        <v>#VALUE!</v>
      </c>
      <c r="B10" s="54">
        <f>'Privé - Achat&amp;Utilisation'!$C$9</f>
        <v>205.07379999999998</v>
      </c>
      <c r="C10" s="54">
        <f>'Privé - Contravention'!$D$8+'Caché - Accident'!$D$6</f>
        <v>199.67778886260805</v>
      </c>
      <c r="D10" s="282">
        <f>'Privé - Temps'!D26</f>
        <v>501.66666666666669</v>
      </c>
      <c r="E10" s="54">
        <f>'Indirect - Villes'!M20+'Indirect - Villes'!U20+'Indirect - Prov. &amp; Féd.'!$D$8+'Indirect - Prov. &amp; Féd.'!$D$10</f>
        <v>2717.7239960501252</v>
      </c>
      <c r="F10" s="54">
        <f>'Caché - Accident'!$D$7+'Caché - Emprise spatiale'!N24</f>
        <v>162.31828837234053</v>
      </c>
      <c r="G10" s="54">
        <f>-'Caché - Santé'!D32</f>
        <v>-362.79074599320001</v>
      </c>
      <c r="H10" s="54">
        <f t="shared" si="0"/>
        <v>906.4182555292748</v>
      </c>
      <c r="I10" s="54">
        <f t="shared" si="3"/>
        <v>2517.251538429266</v>
      </c>
      <c r="J10" s="54">
        <f t="shared" si="1"/>
        <v>2.7771412624069396</v>
      </c>
      <c r="K10" s="54">
        <f>H10/('Clés de répartition'!H100*2*'Privé - Temps'!$B$11)</f>
        <v>1.8128365110585496</v>
      </c>
      <c r="L10" s="54">
        <f>I10/('Clés de répartition'!H100*2*'Privé - Temps'!$B$11)</f>
        <v>5.0345030768585319</v>
      </c>
      <c r="M10" s="366">
        <f t="shared" si="2"/>
        <v>-38.90770083846953</v>
      </c>
      <c r="N10" s="366">
        <f>('Auto - résumé'!K10+'Auto - résumé'!L10)/(L10+K10)</f>
        <v>0.28564306290217317</v>
      </c>
      <c r="O10" s="21" t="s">
        <v>633</v>
      </c>
      <c r="Q10" s="53"/>
      <c r="R10" s="16"/>
      <c r="T10" s="292"/>
      <c r="U10" s="54"/>
    </row>
    <row r="11" spans="1:23">
      <c r="A11" s="19" t="e" vm="8">
        <v>#VALUE!</v>
      </c>
      <c r="B11" s="54">
        <f>'Privé - Achat&amp;Utilisation'!$C$9</f>
        <v>205.07379999999998</v>
      </c>
      <c r="C11" s="54">
        <f>'Privé - Contravention'!$D$8+'Caché - Accident'!$D$6</f>
        <v>199.67778886260805</v>
      </c>
      <c r="D11" s="282">
        <f>'Privé - Temps'!D27</f>
        <v>2354.7735436172989</v>
      </c>
      <c r="E11" s="54">
        <f>'Indirect - Villes'!M21+'Indirect - Villes'!U21+'Indirect - Prov. &amp; Féd.'!$D$8+'Indirect - Prov. &amp; Féd.'!$D$10</f>
        <v>778.37541400825899</v>
      </c>
      <c r="F11" s="54">
        <f>'Caché - Accident'!$D$7+'Caché - Emprise spatiale'!N25</f>
        <v>747.42186189013353</v>
      </c>
      <c r="G11" s="54">
        <f>-'Caché - Santé'!D33</f>
        <v>-1878.8605605664743</v>
      </c>
      <c r="H11" s="54">
        <f t="shared" si="0"/>
        <v>2759.5251324799069</v>
      </c>
      <c r="I11" s="54">
        <f t="shared" si="3"/>
        <v>-353.06328466808191</v>
      </c>
      <c r="J11" s="54">
        <f t="shared" si="1"/>
        <v>-0.12794349307150318</v>
      </c>
      <c r="K11" s="54">
        <f>H11/('Clés de répartition'!H101*2*'Privé - Temps'!$B$11)</f>
        <v>1.0656779991140268</v>
      </c>
      <c r="L11" s="54">
        <f>I11/('Clés de répartition'!H101*2*'Privé - Temps'!$B$11)</f>
        <v>-0.13634656569609888</v>
      </c>
      <c r="M11" s="366">
        <f t="shared" si="2"/>
        <v>1.0537149957939362</v>
      </c>
      <c r="N11" s="366">
        <f>('Auto - résumé'!K11+'Auto - résumé'!L11)/(L11+K11)</f>
        <v>2.7581586105550198</v>
      </c>
      <c r="O11" s="21"/>
      <c r="P11" s="53"/>
      <c r="Q11" s="53"/>
      <c r="R11" s="447"/>
      <c r="T11" s="292"/>
      <c r="U11" s="54"/>
      <c r="V11" s="54"/>
      <c r="W11" s="54"/>
    </row>
    <row r="12" spans="1:23">
      <c r="A12" s="19" t="e" vm="9">
        <v>#VALUE!</v>
      </c>
      <c r="B12" s="54">
        <f>'Privé - Achat&amp;Utilisation'!$C$9</f>
        <v>205.07379999999998</v>
      </c>
      <c r="C12" s="54">
        <f>'Privé - Contravention'!$D$8+'Caché - Accident'!$D$6</f>
        <v>199.67778886260805</v>
      </c>
      <c r="D12" s="282">
        <f>'Privé - Temps'!D28</f>
        <v>3783.7645119031449</v>
      </c>
      <c r="E12" s="54">
        <f>'Indirect - Villes'!M22+'Indirect - Villes'!U22+'Indirect - Prov. &amp; Féd.'!$D$8+'Indirect - Prov. &amp; Féd.'!$D$10</f>
        <v>1701.8378781055637</v>
      </c>
      <c r="F12" s="54">
        <f>'Caché - Accident'!$D$7+'Caché - Emprise spatiale'!N26</f>
        <v>1321.334955189712</v>
      </c>
      <c r="G12" s="54">
        <f>-'Caché - Santé'!D34</f>
        <v>-3363.5603933943084</v>
      </c>
      <c r="H12" s="54">
        <f t="shared" si="0"/>
        <v>4188.5161007657534</v>
      </c>
      <c r="I12" s="54">
        <f t="shared" si="3"/>
        <v>-340.38756009903273</v>
      </c>
      <c r="J12" s="54">
        <f t="shared" si="1"/>
        <v>-8.1266862036605839E-2</v>
      </c>
      <c r="K12" s="54">
        <f>H12/('Clés de répartition'!H102*2*'Privé - Temps'!$B$11)</f>
        <v>0.90353952543001081</v>
      </c>
      <c r="L12" s="54">
        <f>I12/('Clés de répartition'!H102*2*'Privé - Temps'!$B$11)</f>
        <v>-7.3427821957741002E-2</v>
      </c>
      <c r="M12" s="366">
        <f t="shared" si="2"/>
        <v>0.56746568357146898</v>
      </c>
      <c r="N12" s="366">
        <f>('Auto - résumé'!K12+'Auto - résumé'!L12)/(L12+K12)</f>
        <v>3.3178035671030628</v>
      </c>
      <c r="O12" s="21"/>
      <c r="Q12" s="53"/>
      <c r="R12" s="16"/>
      <c r="T12" s="292"/>
      <c r="U12" s="54"/>
    </row>
    <row r="13" spans="1:23">
      <c r="A13" s="19" t="e" vm="10">
        <v>#VALUE!</v>
      </c>
      <c r="B13" s="54">
        <f>'Privé - Achat&amp;Utilisation'!$C$9</f>
        <v>205.07379999999998</v>
      </c>
      <c r="C13" s="54">
        <f>'Privé - Contravention'!$D$8+'Caché - Accident'!$D$6</f>
        <v>199.67778886260805</v>
      </c>
      <c r="D13" s="282">
        <f>'Privé - Temps'!D29</f>
        <v>3255.2164193302838</v>
      </c>
      <c r="E13" s="54">
        <f>'Indirect - Villes'!M23+'Indirect - Villes'!U23+'Indirect - Prov. &amp; Féd.'!$D$8+'Indirect - Prov. &amp; Féd.'!$D$10</f>
        <v>857.13779835480477</v>
      </c>
      <c r="F13" s="54">
        <f>'Caché - Accident'!$D$7+'Caché - Emprise spatiale'!N27</f>
        <v>768.03935655239718</v>
      </c>
      <c r="G13" s="54">
        <f>-'Caché - Santé'!D35</f>
        <v>-2965.0481808230775</v>
      </c>
      <c r="H13" s="54">
        <f t="shared" si="0"/>
        <v>3659.9680081928918</v>
      </c>
      <c r="I13" s="54">
        <f t="shared" si="3"/>
        <v>-1339.8710259158756</v>
      </c>
      <c r="J13" s="54">
        <f t="shared" si="1"/>
        <v>-0.36608817970991953</v>
      </c>
      <c r="K13" s="54">
        <f>H13/('Clés de répartition'!H103*2*'Privé - Temps'!$B$11)</f>
        <v>0.89563638971624171</v>
      </c>
      <c r="L13" s="54">
        <f>I13/('Clés de répartition'!H103*2*'Privé - Temps'!$B$11)</f>
        <v>-0.32788189559318304</v>
      </c>
      <c r="M13" s="366">
        <f t="shared" si="2"/>
        <v>2.5339403927924815</v>
      </c>
      <c r="N13" s="366">
        <f>('Auto - résumé'!K13+'Auto - résumé'!L13)/(L13+K13)</f>
        <v>4.9790709318212434</v>
      </c>
      <c r="O13" s="21"/>
      <c r="Q13" s="53"/>
      <c r="R13" s="16"/>
      <c r="T13" s="292"/>
      <c r="U13" s="54"/>
    </row>
    <row r="14" spans="1:23">
      <c r="A14" s="19" t="e" vm="11">
        <v>#VALUE!</v>
      </c>
      <c r="B14" s="54">
        <f>'Privé - Achat&amp;Utilisation'!$C$9</f>
        <v>205.07379999999998</v>
      </c>
      <c r="C14" s="54">
        <f>'Privé - Contravention'!$D$8+'Caché - Accident'!$D$6</f>
        <v>199.67778886260805</v>
      </c>
      <c r="D14" s="282">
        <f>'Privé - Temps'!D30</f>
        <v>3071.2145759935738</v>
      </c>
      <c r="E14" s="54">
        <f>'Indirect - Villes'!M24+'Indirect - Villes'!U24+'Indirect - Prov. &amp; Féd.'!$D$8+'Indirect - Prov. &amp; Féd.'!$D$10</f>
        <v>722.31185074178984</v>
      </c>
      <c r="F14" s="54">
        <f>'Caché - Accident'!$D$7+'Caché - Emprise spatiale'!N28</f>
        <v>1060.2371948344471</v>
      </c>
      <c r="G14" s="54">
        <f>-'Caché - Santé'!D36</f>
        <v>-2346.5398620723945</v>
      </c>
      <c r="H14" s="54">
        <f t="shared" si="0"/>
        <v>3475.9661648561819</v>
      </c>
      <c r="I14" s="54">
        <f t="shared" si="3"/>
        <v>-563.99081649615755</v>
      </c>
      <c r="J14" s="54">
        <f t="shared" si="1"/>
        <v>-0.16225440345144806</v>
      </c>
      <c r="K14" s="54">
        <f>H14/('Clés de répartition'!H104*2*'Privé - Temps'!$B$11)</f>
        <v>1.0748152020580433</v>
      </c>
      <c r="L14" s="54">
        <f>I14/('Clés de répartition'!H104*2*'Privé - Temps'!$B$11)</f>
        <v>-0.17439349943047541</v>
      </c>
      <c r="M14" s="366">
        <f t="shared" si="2"/>
        <v>1.347749718379089</v>
      </c>
      <c r="N14" s="366">
        <f>('Auto - résumé'!K14+'Auto - résumé'!L14)/(L14+K14)</f>
        <v>3.8476903112872249</v>
      </c>
      <c r="O14" s="21"/>
      <c r="Q14" s="53"/>
      <c r="R14" s="16"/>
      <c r="T14" s="292"/>
      <c r="U14" s="54"/>
    </row>
    <row r="15" spans="1:23">
      <c r="A15" s="19" t="e" vm="12">
        <v>#VALUE!</v>
      </c>
      <c r="B15" s="54">
        <f>'Privé - Achat&amp;Utilisation'!$C$9</f>
        <v>205.07379999999998</v>
      </c>
      <c r="C15" s="54">
        <f>'Privé - Contravention'!$D$8+'Caché - Accident'!$D$6</f>
        <v>199.67778886260805</v>
      </c>
      <c r="D15" s="282">
        <f>'Privé - Temps'!D31</f>
        <v>2290.8825310994935</v>
      </c>
      <c r="E15" s="54">
        <f>'Indirect - Villes'!M25+'Indirect - Villes'!U25+'Indirect - Prov. &amp; Féd.'!$D$8+'Indirect - Prov. &amp; Féd.'!$D$10</f>
        <v>600.01303414755535</v>
      </c>
      <c r="F15" s="54">
        <f>'Caché - Accident'!$D$7+'Caché - Emprise spatiale'!N29</f>
        <v>1428.6422243206091</v>
      </c>
      <c r="G15" s="54">
        <f>-'Caché - Santé'!D37</f>
        <v>-2229.4071819339492</v>
      </c>
      <c r="H15" s="54">
        <f t="shared" si="0"/>
        <v>2695.6341199621015</v>
      </c>
      <c r="I15" s="54">
        <f t="shared" si="3"/>
        <v>-200.75192346578478</v>
      </c>
      <c r="J15" s="54">
        <f t="shared" si="1"/>
        <v>-7.4472986515175588E-2</v>
      </c>
      <c r="K15" s="54">
        <f>H15/('Clés de répartition'!H105*2*'Privé - Temps'!$B$11)</f>
        <v>0.87731942485035719</v>
      </c>
      <c r="L15" s="54">
        <f>I15/('Clés de répartition'!H105*2*'Privé - Temps'!$B$11)</f>
        <v>-6.5336597696382254E-2</v>
      </c>
      <c r="M15" s="366">
        <f t="shared" si="2"/>
        <v>0.50493499719152324</v>
      </c>
      <c r="N15" s="366">
        <f>('Auto - résumé'!K15+'Auto - résumé'!L15)/(L15+K15)</f>
        <v>2.8258183857694155</v>
      </c>
      <c r="O15" s="21"/>
      <c r="Q15" s="53"/>
      <c r="R15" s="16"/>
      <c r="T15" s="292"/>
      <c r="U15" s="54"/>
    </row>
    <row r="16" spans="1:23">
      <c r="A16" s="19" t="e" vm="13">
        <v>#VALUE!</v>
      </c>
      <c r="B16" s="54">
        <f>'Privé - Achat&amp;Utilisation'!$C$9</f>
        <v>205.07379999999998</v>
      </c>
      <c r="C16" s="54">
        <f>'Privé - Contravention'!$D$8+'Caché - Accident'!$D$6</f>
        <v>199.67778886260805</v>
      </c>
      <c r="D16" s="282">
        <f>'Privé - Temps'!D32</f>
        <v>1038.3333333333335</v>
      </c>
      <c r="E16" s="54">
        <f>'Indirect - Villes'!M26+'Indirect - Villes'!U26+'Indirect - Prov. &amp; Féd.'!$D$8+'Indirect - Prov. &amp; Féd.'!$D$10</f>
        <v>3469.4356569550796</v>
      </c>
      <c r="F16" s="54">
        <f>'Caché - Accident'!$D$7+'Caché - Emprise spatiale'!N30</f>
        <v>2863.5041184036845</v>
      </c>
      <c r="G16" s="54">
        <f>-'Caché - Santé'!D38</f>
        <v>-943.25593958232002</v>
      </c>
      <c r="H16" s="54">
        <f t="shared" si="0"/>
        <v>1443.0849221959415</v>
      </c>
      <c r="I16" s="54">
        <f t="shared" si="3"/>
        <v>5389.6838357764436</v>
      </c>
      <c r="J16" s="54">
        <f t="shared" si="1"/>
        <v>3.7348348339576334</v>
      </c>
      <c r="K16" s="54">
        <f>H16/('Clés de répartition'!H106*2*'Privé - Temps'!$B$11)</f>
        <v>1.110065324766109</v>
      </c>
      <c r="L16" s="54">
        <f>I16/('Clés de répartition'!H106*2*'Privé - Temps'!$B$11)</f>
        <v>4.1459106429049566</v>
      </c>
      <c r="M16" s="366">
        <f t="shared" si="2"/>
        <v>-32.040471231140259</v>
      </c>
      <c r="N16" s="366">
        <f>('Auto - résumé'!K16+'Auto - résumé'!L16)/(L16+K16)</f>
        <v>0.33281714454765282</v>
      </c>
      <c r="O16" s="21"/>
      <c r="Q16" s="53"/>
      <c r="R16" s="16"/>
      <c r="T16" s="292"/>
      <c r="U16" s="54"/>
    </row>
    <row r="17" spans="1:22">
      <c r="A17" s="19" t="e" vm="14">
        <v>#VALUE!</v>
      </c>
      <c r="B17" s="54">
        <f>'Privé - Achat&amp;Utilisation'!$C$9</f>
        <v>205.07379999999998</v>
      </c>
      <c r="C17" s="54">
        <f>'Privé - Contravention'!$D$8+'Caché - Accident'!$D$6</f>
        <v>199.67778886260805</v>
      </c>
      <c r="D17" s="282">
        <f>'Privé - Temps'!D33</f>
        <v>6178.9052744886958</v>
      </c>
      <c r="E17" s="54">
        <f>'Indirect - Villes'!M27+'Indirect - Villes'!U27+'Indirect - Prov. &amp; Féd.'!$D$8+'Indirect - Prov. &amp; Féd.'!$D$10</f>
        <v>493.80318141539516</v>
      </c>
      <c r="F17" s="54">
        <f>'Caché - Accident'!$D$7+'Caché - Emprise spatiale'!N31</f>
        <v>33.896384834622836</v>
      </c>
      <c r="G17" s="54">
        <f>-'Caché - Santé'!D39</f>
        <v>-5595.0533899391403</v>
      </c>
      <c r="H17" s="54">
        <f t="shared" si="0"/>
        <v>6583.6568633513034</v>
      </c>
      <c r="I17" s="54">
        <f t="shared" si="3"/>
        <v>-5067.3538236891218</v>
      </c>
      <c r="J17" s="54">
        <f t="shared" si="1"/>
        <v>-0.76968680611183427</v>
      </c>
      <c r="K17" s="54">
        <f>H17/('Clés de répartition'!H107*2*'Privé - Temps'!$B$11)</f>
        <v>0.85378623521748065</v>
      </c>
      <c r="L17" s="54">
        <f>I17/('Clés de répartition'!H107*2*'Privé - Temps'!$B$11)</f>
        <v>-0.65714800048679001</v>
      </c>
      <c r="M17" s="366">
        <f t="shared" si="2"/>
        <v>5.0785782467914675</v>
      </c>
      <c r="N17" s="366">
        <f>('Auto - résumé'!K17+'Auto - résumé'!L17)/(L17+K17)</f>
        <v>8.2774241310332659</v>
      </c>
      <c r="O17" s="21"/>
      <c r="Q17" s="53"/>
      <c r="R17" s="16"/>
      <c r="T17" s="292"/>
      <c r="U17" s="54"/>
    </row>
    <row r="18" spans="1:22">
      <c r="A18" s="19" t="e" vm="15">
        <v>#VALUE!</v>
      </c>
      <c r="B18" s="54">
        <f>'Privé - Achat&amp;Utilisation'!$C$9</f>
        <v>205.07379999999998</v>
      </c>
      <c r="C18" s="54">
        <f>'Privé - Contravention'!$D$8+'Caché - Accident'!$D$6</f>
        <v>199.67778886260805</v>
      </c>
      <c r="D18" s="282">
        <f>'Privé - Temps'!D34</f>
        <v>1720.0842140477334</v>
      </c>
      <c r="E18" s="54">
        <f>'Indirect - Villes'!M28+'Indirect - Villes'!U28+'Indirect - Prov. &amp; Féd.'!$D$8+'Indirect - Prov. &amp; Féd.'!$D$10</f>
        <v>842.81957371375006</v>
      </c>
      <c r="F18" s="54">
        <f>'Caché - Accident'!$D$7+'Caché - Emprise spatiale'!N32</f>
        <v>1952.4803744602414</v>
      </c>
      <c r="G18" s="54">
        <f>-'Caché - Santé'!D40</f>
        <v>-1269.31657463584</v>
      </c>
      <c r="H18" s="54">
        <f t="shared" si="0"/>
        <v>2124.8358029103415</v>
      </c>
      <c r="I18" s="54">
        <f t="shared" si="3"/>
        <v>1525.9833735381517</v>
      </c>
      <c r="J18" s="54">
        <f t="shared" si="1"/>
        <v>0.7181653149142373</v>
      </c>
      <c r="K18" s="54">
        <f>H18/('Clés de répartition'!H108*2*'Privé - Temps'!$B$11)</f>
        <v>1.2146233358247316</v>
      </c>
      <c r="L18" s="54">
        <f>I18/('Clés de répartition'!H108*2*'Privé - Temps'!$B$11)</f>
        <v>0.87230035047474985</v>
      </c>
      <c r="M18" s="366">
        <f t="shared" si="2"/>
        <v>-6.7413209525221571</v>
      </c>
      <c r="N18" s="366">
        <f>('Auto - résumé'!K18+'Auto - résumé'!L18)/(L18+K18)</f>
        <v>1.9837749831613665</v>
      </c>
      <c r="O18" s="21"/>
      <c r="Q18" s="53"/>
      <c r="R18" s="16"/>
      <c r="T18" s="292"/>
      <c r="U18" s="54"/>
    </row>
    <row r="19" spans="1:22">
      <c r="A19" s="107" t="s">
        <v>585</v>
      </c>
      <c r="B19" s="326"/>
      <c r="C19" s="326"/>
      <c r="D19" s="325"/>
      <c r="E19" s="326"/>
      <c r="F19" s="326"/>
      <c r="G19" s="326"/>
      <c r="H19" s="326"/>
      <c r="I19" s="326"/>
      <c r="J19" s="326"/>
      <c r="K19" s="326"/>
      <c r="L19" s="326"/>
      <c r="M19" s="326"/>
      <c r="N19" s="326"/>
      <c r="O19" s="21"/>
      <c r="Q19" s="53"/>
      <c r="R19" s="16"/>
      <c r="T19" s="292"/>
      <c r="U19" s="54"/>
    </row>
    <row r="20" spans="1:22" ht="17">
      <c r="A20" s="66" t="e" vm="16">
        <v>#VALUE!</v>
      </c>
      <c r="B20" s="54">
        <f>'Privé - Achat&amp;Utilisation'!$C$9</f>
        <v>205.07379999999998</v>
      </c>
      <c r="C20" s="54">
        <f>'Privé - Contravention'!$D$8+'Caché - Accident'!$D$6</f>
        <v>199.67778886260805</v>
      </c>
      <c r="D20" s="282">
        <f>'Privé - Temps'!D36</f>
        <v>2924.3200342484802</v>
      </c>
      <c r="E20" s="54">
        <f>'Indirect - Villes'!M30+'Indirect - Villes'!U30+'Indirect - Prov. &amp; Féd.'!$D$8+'Indirect - Prov. &amp; Féd.'!$D$10</f>
        <v>779.82995282295474</v>
      </c>
      <c r="F20" s="54">
        <f>'Caché - Accident'!$D$7+'Caché - Emprise spatiale'!N34</f>
        <v>781.63553773200056</v>
      </c>
      <c r="G20" s="54">
        <f>-'Caché - Santé'!D42</f>
        <v>-2411.4967526803694</v>
      </c>
      <c r="H20" s="54">
        <f t="shared" si="0"/>
        <v>3329.0716231110882</v>
      </c>
      <c r="I20" s="54">
        <f t="shared" si="3"/>
        <v>-850.03126212541406</v>
      </c>
      <c r="J20" s="54">
        <f t="shared" si="1"/>
        <v>-0.25533582883117478</v>
      </c>
      <c r="K20" s="54">
        <f>H20/('Clés de répartition'!H110*2*'Privé - Temps'!$B$11)</f>
        <v>1.0016653568128162</v>
      </c>
      <c r="L20" s="53">
        <f>I20/('Clés de répartition'!H110*2*'Privé - Temps'!$B$11)</f>
        <v>-0.25576105409327488</v>
      </c>
      <c r="M20" s="366">
        <f t="shared" si="2"/>
        <v>1.9765753296553965</v>
      </c>
      <c r="N20" s="366">
        <f>('Auto - résumé'!K20+'Auto - résumé'!L20)/(L20+K20)</f>
        <v>3.5822803590877323</v>
      </c>
      <c r="O20" s="21"/>
      <c r="Q20" s="53"/>
      <c r="R20" s="16"/>
      <c r="T20" s="292"/>
      <c r="U20" s="54"/>
      <c r="V20" s="54"/>
    </row>
    <row r="21" spans="1:22" ht="17">
      <c r="A21" s="66" t="e" vm="17">
        <v>#VALUE!</v>
      </c>
      <c r="B21" s="54">
        <f>'Privé - Achat&amp;Utilisation'!$C$9</f>
        <v>205.07379999999998</v>
      </c>
      <c r="C21" s="54">
        <f>'Privé - Contravention'!$D$8+'Caché - Accident'!$D$6</f>
        <v>199.67778886260805</v>
      </c>
      <c r="D21" s="282">
        <f>'Privé - Temps'!D37</f>
        <v>4045.61063872861</v>
      </c>
      <c r="E21" s="54">
        <f>'Indirect - Villes'!M31+'Indirect - Villes'!U31+'Indirect - Prov. &amp; Féd.'!$D$8+'Indirect - Prov. &amp; Féd.'!$D$10</f>
        <v>801.822011869677</v>
      </c>
      <c r="F21" s="54">
        <f>'Caché - Accident'!$D$7+'Caché - Emprise spatiale'!N35</f>
        <v>435.88685330394406</v>
      </c>
      <c r="G21" s="54">
        <f>-'Caché - Santé'!D43</f>
        <v>-3355.9392600925698</v>
      </c>
      <c r="H21" s="54">
        <f t="shared" si="0"/>
        <v>4450.3622275912185</v>
      </c>
      <c r="I21" s="54">
        <f t="shared" si="3"/>
        <v>-2118.2303949189491</v>
      </c>
      <c r="J21" s="54">
        <f t="shared" si="1"/>
        <v>-0.47596808677424268</v>
      </c>
      <c r="K21" s="54">
        <f>H21/('Clés de répartition'!H111*2*'Privé - Temps'!$B$11)</f>
        <v>0.96220468092932165</v>
      </c>
      <c r="L21" s="53">
        <f>I21/('Clés de répartition'!H111*2*'Privé - Temps'!$B$11)</f>
        <v>-0.45797872106714987</v>
      </c>
      <c r="M21" s="366">
        <f t="shared" si="2"/>
        <v>3.5393560789686362</v>
      </c>
      <c r="N21" s="366">
        <f>('Auto - résumé'!K21+'Auto - résumé'!L21)/(L21+K21)</f>
        <v>5.0540530828587897</v>
      </c>
      <c r="O21" s="21"/>
      <c r="Q21" s="53"/>
      <c r="R21" s="16"/>
      <c r="T21" s="292"/>
      <c r="U21" s="54"/>
      <c r="V21" s="54"/>
    </row>
    <row r="22" spans="1:22">
      <c r="A22" s="87" t="e" vm="18">
        <v>#VALUE!</v>
      </c>
      <c r="B22" s="54">
        <f>'Privé - Achat&amp;Utilisation'!$C$9</f>
        <v>205.07379999999998</v>
      </c>
      <c r="C22" s="54">
        <f>'Privé - Contravention'!$D$8+'Caché - Accident'!$D$6</f>
        <v>199.67778886260805</v>
      </c>
      <c r="D22" s="282">
        <f>'Privé - Temps'!D38</f>
        <v>2557.8150574706101</v>
      </c>
      <c r="E22" s="54">
        <f>'Indirect - Villes'!M32+'Indirect - Villes'!U32+'Indirect - Prov. &amp; Féd.'!$D$8+'Indirect - Prov. &amp; Féd.'!$D$10</f>
        <v>779.23828671979197</v>
      </c>
      <c r="F22" s="54">
        <f>'Caché - Accident'!$D$7+'Caché - Emprise spatiale'!N36</f>
        <v>384.40921736538758</v>
      </c>
      <c r="G22" s="54">
        <f>-'Caché - Santé'!D44</f>
        <v>-2041.6500041553102</v>
      </c>
      <c r="H22" s="54">
        <f t="shared" si="0"/>
        <v>2962.5666463332182</v>
      </c>
      <c r="I22" s="54">
        <f t="shared" si="3"/>
        <v>-878.00250007013051</v>
      </c>
      <c r="J22" s="54">
        <f t="shared" si="1"/>
        <v>-0.29636548469106616</v>
      </c>
      <c r="K22" s="54">
        <f>H22/('Clés de répartition'!H112*2*'Privé - Temps'!$B$11)</f>
        <v>1.0528658305687153</v>
      </c>
      <c r="L22" s="53">
        <f>I22/('Clés de répartition'!H112*2*'Privé - Temps'!$B$11)</f>
        <v>-0.31203309219115921</v>
      </c>
      <c r="M22" s="366">
        <f t="shared" si="2"/>
        <v>2.4114574998436034</v>
      </c>
      <c r="N22" s="366">
        <f>('Auto - résumé'!K22+'Auto - résumé'!L22)/(L22+K22)</f>
        <v>3.7546273530767209</v>
      </c>
      <c r="O22" s="21"/>
      <c r="Q22" s="53"/>
      <c r="R22" s="16"/>
      <c r="T22" s="292"/>
      <c r="U22" s="54"/>
      <c r="V22" s="54"/>
    </row>
    <row r="23" spans="1:22">
      <c r="A23" s="63" t="e" vm="19">
        <v>#VALUE!</v>
      </c>
      <c r="B23" s="54">
        <f>'Privé - Achat&amp;Utilisation'!$C$9</f>
        <v>205.07379999999998</v>
      </c>
      <c r="C23" s="54">
        <f>'Privé - Contravention'!$D$8+'Caché - Accident'!$D$6</f>
        <v>199.67778886260805</v>
      </c>
      <c r="D23" s="282">
        <f>'Privé - Temps'!D39</f>
        <v>3258.678270545227</v>
      </c>
      <c r="E23" s="54">
        <f>'Indirect - Villes'!M33+'Indirect - Villes'!U33+'Indirect - Prov. &amp; Féd.'!$D$8+'Indirect - Prov. &amp; Féd.'!$D$10</f>
        <v>1095.9854564180127</v>
      </c>
      <c r="F23" s="54">
        <f>'Caché - Accident'!$D$7+'Caché - Emprise spatiale'!N37</f>
        <v>626.94450677745783</v>
      </c>
      <c r="G23" s="54">
        <f>-'Caché - Santé'!D45</f>
        <v>-3098.0016388531517</v>
      </c>
      <c r="H23" s="54">
        <f t="shared" si="0"/>
        <v>3663.429859407835</v>
      </c>
      <c r="I23" s="54">
        <f t="shared" si="3"/>
        <v>-1375.0716756576812</v>
      </c>
      <c r="J23" s="54">
        <f t="shared" si="1"/>
        <v>-0.37535089477049544</v>
      </c>
      <c r="K23" s="54">
        <f>H23/('Clés de répartition'!H113*2*'Privé - Temps'!$B$11)</f>
        <v>0.85801016688960585</v>
      </c>
      <c r="L23" s="53">
        <f>I23/('Clés de répartition'!H113*2*'Privé - Temps'!$B$11)</f>
        <v>-0.32205488386419567</v>
      </c>
      <c r="M23" s="366">
        <f t="shared" si="2"/>
        <v>2.4889080180630256</v>
      </c>
      <c r="N23" s="366">
        <f>('Auto - résumé'!K23+'Auto - résumé'!L23)/(L23+K23)</f>
        <v>3.5259813318493056</v>
      </c>
      <c r="O23" s="21"/>
      <c r="Q23" s="53"/>
      <c r="R23" s="16"/>
      <c r="T23" s="292"/>
      <c r="U23" s="54"/>
      <c r="V23" s="54"/>
    </row>
    <row r="24" spans="1:22">
      <c r="A24" s="63" t="e" vm="20">
        <v>#VALUE!</v>
      </c>
      <c r="B24" s="54">
        <f>'Privé - Achat&amp;Utilisation'!$C$9</f>
        <v>205.07379999999998</v>
      </c>
      <c r="C24" s="54">
        <f>'Privé - Contravention'!$D$8+'Caché - Accident'!$D$6</f>
        <v>199.67778886260805</v>
      </c>
      <c r="D24" s="282">
        <f>'Privé - Temps'!D40</f>
        <v>3382.5828551614636</v>
      </c>
      <c r="E24" s="54">
        <f>'Indirect - Villes'!M34+'Indirect - Villes'!U34+'Indirect - Prov. &amp; Féd.'!$D$8+'Indirect - Prov. &amp; Féd.'!$D$10</f>
        <v>793.20608498908882</v>
      </c>
      <c r="F24" s="54">
        <f>'Caché - Accident'!$D$7+'Caché - Emprise spatiale'!N38</f>
        <v>1103.4430451051132</v>
      </c>
      <c r="G24" s="54">
        <f>-'Caché - Santé'!D46</f>
        <v>-2845.3332107749757</v>
      </c>
      <c r="H24" s="54">
        <f t="shared" si="0"/>
        <v>3787.3344440240717</v>
      </c>
      <c r="I24" s="54">
        <f t="shared" si="3"/>
        <v>-948.6840806807736</v>
      </c>
      <c r="J24" s="54">
        <f t="shared" si="1"/>
        <v>-0.25048859420843478</v>
      </c>
      <c r="K24" s="54">
        <f>H24/('Clés de répartition'!H114*2*'Privé - Temps'!$B$11)</f>
        <v>0.96579893213912826</v>
      </c>
      <c r="L24" s="53">
        <f>I24/('Clés de répartition'!H114*2*'Privé - Temps'!$B$11)</f>
        <v>-0.24192161679953772</v>
      </c>
      <c r="M24" s="366">
        <f t="shared" si="2"/>
        <v>1.8696212414808242</v>
      </c>
      <c r="N24" s="366">
        <f>('Auto - résumé'!K24+'Auto - résumé'!L24)/(L24+K24)</f>
        <v>3.2664969125733947</v>
      </c>
      <c r="O24" s="21"/>
      <c r="Q24" s="53"/>
      <c r="R24" s="16"/>
      <c r="T24" s="292"/>
      <c r="U24" s="54"/>
      <c r="V24" s="54"/>
    </row>
    <row r="25" spans="1:22" ht="17">
      <c r="A25" s="66" t="e" vm="21">
        <v>#VALUE!</v>
      </c>
      <c r="B25" s="54">
        <f>'Privé - Achat&amp;Utilisation'!$C$9</f>
        <v>205.07379999999998</v>
      </c>
      <c r="C25" s="54">
        <f>'Privé - Contravention'!$D$8+'Caché - Accident'!$D$6</f>
        <v>199.67778886260805</v>
      </c>
      <c r="D25" s="282">
        <f>'Privé - Temps'!D41</f>
        <v>3000.2807695518932</v>
      </c>
      <c r="E25" s="54">
        <f>'Indirect - Villes'!M35+'Indirect - Villes'!U35+'Indirect - Prov. &amp; Féd.'!$D$8+'Indirect - Prov. &amp; Féd.'!$D$10</f>
        <v>781.21797018749885</v>
      </c>
      <c r="F25" s="54">
        <f>'Caché - Accident'!$D$7+'Caché - Emprise spatiale'!N39</f>
        <v>1042.1602405389851</v>
      </c>
      <c r="G25" s="54">
        <f>-'Caché - Santé'!D47</f>
        <v>-2810.0328693214001</v>
      </c>
      <c r="H25" s="54">
        <f t="shared" si="0"/>
        <v>3405.0323584145012</v>
      </c>
      <c r="I25" s="54">
        <f t="shared" si="3"/>
        <v>-986.6546585949161</v>
      </c>
      <c r="J25" s="54">
        <f t="shared" si="1"/>
        <v>-0.28976366587433433</v>
      </c>
      <c r="K25" s="54">
        <f>H25/('Clés de répartition'!H115*2*'Privé - Temps'!$B$11)</f>
        <v>0.8792169251304881</v>
      </c>
      <c r="L25" s="53">
        <f>I25/('Clés de répartition'!H115*2*'Privé - Temps'!$B$11)</f>
        <v>-0.25476511932457035</v>
      </c>
      <c r="M25" s="366">
        <f t="shared" si="2"/>
        <v>1.9688785358618837</v>
      </c>
      <c r="N25" s="366">
        <f>('Auto - résumé'!K25+'Auto - résumé'!L25)/(L25+K25)</f>
        <v>3.9302957348233041</v>
      </c>
      <c r="O25" s="21"/>
      <c r="P25" s="54"/>
      <c r="Q25" s="53"/>
      <c r="R25" s="16"/>
      <c r="T25" s="292"/>
      <c r="U25" s="54"/>
      <c r="V25" s="54"/>
    </row>
    <row r="26" spans="1:22">
      <c r="A26" s="63" t="e" vm="22">
        <v>#VALUE!</v>
      </c>
      <c r="B26" s="54">
        <f>'Privé - Achat&amp;Utilisation'!$C$9</f>
        <v>205.07379999999998</v>
      </c>
      <c r="C26" s="54">
        <f>'Privé - Contravention'!$D$8+'Caché - Accident'!$D$6</f>
        <v>199.67778886260805</v>
      </c>
      <c r="D26" s="282">
        <f>'Privé - Temps'!D42</f>
        <v>2557.7294980611964</v>
      </c>
      <c r="E26" s="54">
        <f>'Indirect - Villes'!M36+'Indirect - Villes'!U36+'Indirect - Prov. &amp; Féd.'!$D$8+'Indirect - Prov. &amp; Féd.'!$D$10</f>
        <v>777.8456631005331</v>
      </c>
      <c r="F26" s="54">
        <f>'Caché - Accident'!$D$7+'Caché - Emprise spatiale'!N40</f>
        <v>452.98625234378568</v>
      </c>
      <c r="G26" s="54">
        <f>-'Caché - Santé'!D48</f>
        <v>-1989.040986616521</v>
      </c>
      <c r="H26" s="54">
        <f t="shared" si="0"/>
        <v>2962.4810869238045</v>
      </c>
      <c r="I26" s="54">
        <f t="shared" si="3"/>
        <v>-758.20907117220213</v>
      </c>
      <c r="J26" s="54">
        <f t="shared" si="1"/>
        <v>-0.25593718539466354</v>
      </c>
      <c r="K26" s="54">
        <f>H26/('Clés de répartition'!H116*2*'Privé - Temps'!$B$11)</f>
        <v>1.0806823295723695</v>
      </c>
      <c r="L26" s="53">
        <f>I26/('Clés de répartition'!H116*2*'Privé - Temps'!$B$11)</f>
        <v>-0.27658679373650041</v>
      </c>
      <c r="M26" s="366">
        <f t="shared" si="2"/>
        <v>2.137521034804132</v>
      </c>
      <c r="N26" s="366">
        <f>('Auto - résumé'!K26+'Auto - résumé'!L26)/(L26+K26)</f>
        <v>3.2419474796489629</v>
      </c>
      <c r="O26" s="21"/>
      <c r="Q26" s="53"/>
      <c r="R26" s="16"/>
      <c r="T26" s="292"/>
      <c r="U26" s="54"/>
      <c r="V26" s="54"/>
    </row>
    <row r="27" spans="1:22">
      <c r="A27" s="63" t="e" vm="23">
        <v>#VALUE!</v>
      </c>
      <c r="B27" s="54">
        <f>'Privé - Achat&amp;Utilisation'!$C$9</f>
        <v>205.07379999999998</v>
      </c>
      <c r="C27" s="54">
        <f>'Privé - Contravention'!$D$8+'Caché - Accident'!$D$6</f>
        <v>199.67778886260805</v>
      </c>
      <c r="D27" s="282">
        <f>'Privé - Temps'!D43</f>
        <v>4307.7749234958901</v>
      </c>
      <c r="E27" s="54">
        <f>'Indirect - Villes'!M37+'Indirect - Villes'!U37+'Indirect - Prov. &amp; Féd.'!$D$8+'Indirect - Prov. &amp; Féd.'!$D$10</f>
        <v>809.80413879681305</v>
      </c>
      <c r="F27" s="54">
        <f>'Caché - Accident'!$D$7+'Caché - Emprise spatiale'!N41</f>
        <v>784.59539825388811</v>
      </c>
      <c r="G27" s="54">
        <f>-'Caché - Santé'!D49</f>
        <v>-3499.4431335334916</v>
      </c>
      <c r="H27" s="54">
        <f t="shared" si="0"/>
        <v>4712.5265123584977</v>
      </c>
      <c r="I27" s="54">
        <f t="shared" si="3"/>
        <v>-1905.0435964827905</v>
      </c>
      <c r="J27" s="54">
        <f t="shared" si="1"/>
        <v>-0.40425100877137887</v>
      </c>
      <c r="K27" s="54">
        <f>H27/('Clés de répartition'!H117*2*'Privé - Temps'!$B$11)</f>
        <v>0.97710460990116277</v>
      </c>
      <c r="L27" s="53">
        <f>I27/('Clés de répartition'!H117*2*'Privé - Temps'!$B$11)</f>
        <v>-0.39499552422770967</v>
      </c>
      <c r="M27" s="366">
        <f t="shared" si="2"/>
        <v>3.052608659597015</v>
      </c>
      <c r="N27" s="366">
        <f>('Auto - résumé'!K27+'Auto - résumé'!L27)/(L27+K27)</f>
        <v>4.3758927290260869</v>
      </c>
      <c r="O27" s="21"/>
      <c r="P27" s="54"/>
      <c r="Q27" s="53"/>
      <c r="R27" s="16"/>
      <c r="T27" s="292"/>
      <c r="U27" s="54"/>
      <c r="V27" s="54"/>
    </row>
    <row r="28" spans="1:22">
      <c r="A28" s="63" t="e" vm="24">
        <v>#VALUE!</v>
      </c>
      <c r="B28" s="54">
        <f>'Privé - Achat&amp;Utilisation'!$C$9</f>
        <v>205.07379999999998</v>
      </c>
      <c r="C28" s="54">
        <f>'Privé - Contravention'!$D$8+'Caché - Accident'!$D$6</f>
        <v>199.67778886260805</v>
      </c>
      <c r="D28" s="282">
        <f>'Privé - Temps'!D44</f>
        <v>2091.8556279945101</v>
      </c>
      <c r="E28" s="54">
        <f>'Indirect - Villes'!M38+'Indirect - Villes'!U38+'Indirect - Prov. &amp; Féd.'!$D$8+'Indirect - Prov. &amp; Féd.'!$D$10</f>
        <v>772.25874711355141</v>
      </c>
      <c r="F28" s="54">
        <f>'Caché - Accident'!$D$7+'Caché - Emprise spatiale'!N42</f>
        <v>844.27052324009628</v>
      </c>
      <c r="G28" s="54">
        <f>-'Caché - Santé'!D50</f>
        <v>-1686.3119660482444</v>
      </c>
      <c r="H28" s="54">
        <f t="shared" si="0"/>
        <v>2496.6072168571181</v>
      </c>
      <c r="I28" s="54">
        <f t="shared" si="3"/>
        <v>-69.782695694596669</v>
      </c>
      <c r="J28" s="54">
        <f t="shared" si="1"/>
        <v>-2.7951010965370594E-2</v>
      </c>
      <c r="K28" s="54">
        <f>H28/('Clés de répartition'!H118*2*'Privé - Temps'!$B$11)</f>
        <v>1.0742330160630407</v>
      </c>
      <c r="L28" s="53">
        <f>I28/('Clés de répartition'!H118*2*'Privé - Temps'!$B$11)</f>
        <v>-3.0025898811341174E-2</v>
      </c>
      <c r="M28" s="366">
        <f t="shared" si="2"/>
        <v>0.23204647420471669</v>
      </c>
      <c r="N28" s="366">
        <f>('Auto - résumé'!K28+'Auto - résumé'!L28)/(L28+K28)</f>
        <v>3.3088648858824947</v>
      </c>
      <c r="O28" s="21"/>
      <c r="Q28" s="53"/>
      <c r="R28" s="16"/>
      <c r="T28" s="292"/>
      <c r="U28" s="54"/>
      <c r="V28" s="54"/>
    </row>
    <row r="29" spans="1:22">
      <c r="A29" s="63" t="e" vm="25">
        <v>#VALUE!</v>
      </c>
      <c r="B29" s="54">
        <f>'Privé - Achat&amp;Utilisation'!$C$9</f>
        <v>205.07379999999998</v>
      </c>
      <c r="C29" s="54">
        <f>'Privé - Contravention'!$D$8+'Caché - Accident'!$D$6</f>
        <v>199.67778886260805</v>
      </c>
      <c r="D29" s="282">
        <f>'Privé - Temps'!D45</f>
        <v>1446.8922273024214</v>
      </c>
      <c r="E29" s="54">
        <f>'Indirect - Villes'!M39+'Indirect - Villes'!U39+'Indirect - Prov. &amp; Féd.'!$D$8+'Indirect - Prov. &amp; Féd.'!$D$10</f>
        <v>899.74513727574742</v>
      </c>
      <c r="F29" s="54">
        <f>'Caché - Accident'!$D$7+'Caché - Emprise spatiale'!N43</f>
        <v>1682.53029821984</v>
      </c>
      <c r="G29" s="54">
        <f>-'Caché - Santé'!D51</f>
        <v>-1296.141621445855</v>
      </c>
      <c r="H29" s="54">
        <f t="shared" si="0"/>
        <v>1851.6438161650294</v>
      </c>
      <c r="I29" s="54">
        <f t="shared" si="3"/>
        <v>1286.1338140497323</v>
      </c>
      <c r="J29" s="54">
        <f t="shared" si="1"/>
        <v>0.69459028935352463</v>
      </c>
      <c r="K29" s="54">
        <f>H29/('Clés de répartition'!H119*2*'Privé - Temps'!$B$11)</f>
        <v>1.0365522258761426</v>
      </c>
      <c r="L29" s="53">
        <f>I29/('Clés de répartition'!H119*2*'Privé - Temps'!$B$11)</f>
        <v>0.71997911050134988</v>
      </c>
      <c r="M29" s="366">
        <f t="shared" si="2"/>
        <v>-5.5641503071269378</v>
      </c>
      <c r="N29" s="366">
        <f>('Auto - résumé'!K29+'Auto - résumé'!L29)/(L29+K29)</f>
        <v>1.1795670199189974</v>
      </c>
      <c r="O29" t="s">
        <v>633</v>
      </c>
      <c r="P29" s="53"/>
      <c r="Q29" s="53"/>
      <c r="R29" s="16"/>
      <c r="T29" s="292"/>
      <c r="U29" s="54"/>
      <c r="V29" s="54"/>
    </row>
    <row r="30" spans="1:22">
      <c r="A30" s="63" t="e" vm="26">
        <v>#VALUE!</v>
      </c>
      <c r="B30" s="54">
        <f>'Privé - Achat&amp;Utilisation'!$C$9</f>
        <v>205.07379999999998</v>
      </c>
      <c r="C30" s="54">
        <f>'Privé - Contravention'!$D$8+'Caché - Accident'!$D$6</f>
        <v>199.67778886260805</v>
      </c>
      <c r="D30" s="282">
        <f>'Privé - Temps'!D46</f>
        <v>1921.4737502890998</v>
      </c>
      <c r="E30" s="54">
        <f>'Indirect - Villes'!M40+'Indirect - Villes'!U40+'Indirect - Prov. &amp; Féd.'!$D$8+'Indirect - Prov. &amp; Féd.'!$D$10</f>
        <v>773.65476829031138</v>
      </c>
      <c r="F30" s="54">
        <f>'Caché - Accident'!$D$7+'Caché - Emprise spatiale'!N44</f>
        <v>805.58906524913641</v>
      </c>
      <c r="G30" s="54">
        <f>-'Caché - Santé'!D52</f>
        <v>-1481.7056157964957</v>
      </c>
      <c r="H30" s="54">
        <f t="shared" si="0"/>
        <v>2326.2253391517079</v>
      </c>
      <c r="I30" s="54">
        <f t="shared" si="3"/>
        <v>97.538217742951929</v>
      </c>
      <c r="J30" s="54">
        <f t="shared" si="1"/>
        <v>4.1929823435987792E-2</v>
      </c>
      <c r="K30" s="54">
        <f>H30/('Clés de répartition'!H120*2*'Privé - Temps'!$B$11)</f>
        <v>1.1391372444592831</v>
      </c>
      <c r="L30" s="53">
        <f>I30/('Clés de répartition'!H120*2*'Privé - Temps'!$B$11)</f>
        <v>4.7763823529535405E-2</v>
      </c>
      <c r="M30" s="366">
        <f t="shared" si="2"/>
        <v>-0.36912889483190503</v>
      </c>
      <c r="N30" s="366">
        <f>('Auto - résumé'!K30+'Auto - résumé'!L30)/(L30+K30)</f>
        <v>2.6989042802575116</v>
      </c>
      <c r="O30" s="21"/>
      <c r="Q30" s="53"/>
      <c r="R30" s="16"/>
      <c r="T30" s="292"/>
      <c r="U30" s="54"/>
      <c r="V30" s="54"/>
    </row>
    <row r="31" spans="1:22">
      <c r="A31" s="63" t="e" vm="27">
        <v>#VALUE!</v>
      </c>
      <c r="B31" s="54">
        <f>'Privé - Achat&amp;Utilisation'!$C$9</f>
        <v>205.07379999999998</v>
      </c>
      <c r="C31" s="54">
        <f>'Privé - Contravention'!$D$8+'Caché - Accident'!$D$6</f>
        <v>199.67778886260805</v>
      </c>
      <c r="D31" s="282">
        <f>'Privé - Temps'!D47</f>
        <v>4081.2714840830913</v>
      </c>
      <c r="E31" s="54">
        <f>'Indirect - Villes'!M41+'Indirect - Villes'!U41+'Indirect - Prov. &amp; Féd.'!$D$8+'Indirect - Prov. &amp; Féd.'!$D$10</f>
        <v>956.03831886994283</v>
      </c>
      <c r="F31" s="54">
        <f>'Caché - Accident'!$D$7+'Caché - Emprise spatiale'!N45</f>
        <v>2793.0470547516356</v>
      </c>
      <c r="G31" s="54">
        <f>-'Caché - Santé'!D53</f>
        <v>-3660.1064263806848</v>
      </c>
      <c r="H31" s="54">
        <f t="shared" si="0"/>
        <v>4486.0230729456998</v>
      </c>
      <c r="I31" s="54">
        <f t="shared" si="3"/>
        <v>88.978947240893831</v>
      </c>
      <c r="J31" s="54">
        <f t="shared" si="1"/>
        <v>1.9834705661125086E-2</v>
      </c>
      <c r="K31" s="54">
        <f>H31/('Clés de répartition'!H121*2*'Privé - Temps'!$B$11)</f>
        <v>0.88931165795964451</v>
      </c>
      <c r="L31" s="53">
        <f>I31/('Clés de répartition'!H121*2*'Privé - Temps'!$B$11)</f>
        <v>1.7639234976636699E-2</v>
      </c>
      <c r="M31" s="366">
        <f t="shared" si="2"/>
        <v>-0.13631972550480448</v>
      </c>
      <c r="N31" s="366">
        <f>('Auto - résumé'!K31+'Auto - résumé'!L31)/(L31+K31)</f>
        <v>2.3796574524497709</v>
      </c>
      <c r="O31" s="21"/>
      <c r="Q31" s="53"/>
      <c r="R31" s="16"/>
      <c r="T31" s="292"/>
      <c r="U31" s="54"/>
      <c r="V31" s="54"/>
    </row>
    <row r="32" spans="1:22">
      <c r="A32" s="63" t="e" vm="28">
        <v>#VALUE!</v>
      </c>
      <c r="B32" s="54">
        <f>'Privé - Achat&amp;Utilisation'!$C$9</f>
        <v>205.07379999999998</v>
      </c>
      <c r="C32" s="54">
        <f>'Privé - Contravention'!$D$8+'Caché - Accident'!$D$6</f>
        <v>199.67778886260805</v>
      </c>
      <c r="D32" s="282">
        <f>'Privé - Temps'!D48</f>
        <v>2331.5202754029901</v>
      </c>
      <c r="E32" s="54">
        <f>'Indirect - Villes'!M42+'Indirect - Villes'!U42+'Indirect - Prov. &amp; Féd.'!$D$8+'Indirect - Prov. &amp; Féd.'!$D$10</f>
        <v>777.62225343803811</v>
      </c>
      <c r="F32" s="54">
        <f>'Caché - Accident'!$D$7+'Caché - Emprise spatiale'!N46</f>
        <v>705.66031005689013</v>
      </c>
      <c r="G32" s="54">
        <f>-'Caché - Santé'!D54</f>
        <v>-1886.3267408681254</v>
      </c>
      <c r="H32" s="54">
        <f t="shared" si="0"/>
        <v>2736.2718642655982</v>
      </c>
      <c r="I32" s="54">
        <f t="shared" si="3"/>
        <v>-403.04417737319727</v>
      </c>
      <c r="J32" s="54">
        <f t="shared" si="1"/>
        <v>-0.14729683210091857</v>
      </c>
      <c r="K32" s="54">
        <f>H32/('Clés de répartition'!H122*2*'Privé - Temps'!$B$11)</f>
        <v>1.0525155471424457</v>
      </c>
      <c r="L32" s="53">
        <f>I32/('Clés de répartition'!H122*2*'Privé - Temps'!$B$11)</f>
        <v>-0.15503220583104727</v>
      </c>
      <c r="M32" s="366">
        <f t="shared" si="2"/>
        <v>1.1981215609001632</v>
      </c>
      <c r="N32" s="366">
        <f>('Auto - résumé'!K32+'Auto - résumé'!L32)/(L32+K32)</f>
        <v>3.2524030806547968</v>
      </c>
      <c r="O32" s="21"/>
      <c r="Q32" s="53"/>
      <c r="R32" s="16"/>
      <c r="T32" s="292"/>
      <c r="U32" s="54"/>
      <c r="V32" s="54"/>
    </row>
    <row r="33" spans="1:22">
      <c r="A33" s="63" t="e" vm="29">
        <v>#VALUE!</v>
      </c>
      <c r="B33" s="54">
        <f>'Privé - Achat&amp;Utilisation'!$C$9</f>
        <v>205.07379999999998</v>
      </c>
      <c r="C33" s="54">
        <f>'Privé - Contravention'!$D$8+'Caché - Accident'!$D$6</f>
        <v>199.67778886260805</v>
      </c>
      <c r="D33" s="282">
        <f>'Privé - Temps'!D49</f>
        <v>2039.2098567901198</v>
      </c>
      <c r="E33" s="54">
        <f>'Indirect - Villes'!M43+'Indirect - Villes'!U43+'Indirect - Prov. &amp; Féd.'!$D$8+'Indirect - Prov. &amp; Féd.'!$D$10</f>
        <v>776.73811709901167</v>
      </c>
      <c r="F33" s="54">
        <f>'Caché - Accident'!$D$7+'Caché - Emprise spatiale'!N47</f>
        <v>467.27199847394786</v>
      </c>
      <c r="G33" s="54">
        <f>-'Caché - Santé'!D55</f>
        <v>-1645.5461581824009</v>
      </c>
      <c r="H33" s="54">
        <f t="shared" si="0"/>
        <v>2443.9614456527279</v>
      </c>
      <c r="I33" s="54">
        <f t="shared" si="3"/>
        <v>-401.53604260944144</v>
      </c>
      <c r="J33" s="54">
        <f t="shared" si="1"/>
        <v>-0.16429720825739133</v>
      </c>
      <c r="K33" s="54">
        <f>H33/('Clés de répartition'!H123*2*'Privé - Temps'!$B$11)</f>
        <v>1.0776319966938201</v>
      </c>
      <c r="L33" s="53">
        <f>I33/('Clés de répartition'!H123*2*'Privé - Temps'!$B$11)</f>
        <v>-0.17705192858563304</v>
      </c>
      <c r="M33" s="366">
        <f t="shared" si="2"/>
        <v>1.3682946191746763</v>
      </c>
      <c r="N33" s="366">
        <f>('Auto - résumé'!K33+'Auto - résumé'!L33)/(L33+K33)</f>
        <v>2.8406900082741666</v>
      </c>
      <c r="O33" s="21"/>
      <c r="Q33" s="53"/>
      <c r="R33" s="16"/>
      <c r="T33" s="292"/>
      <c r="U33" s="54"/>
      <c r="V33" s="54"/>
    </row>
    <row r="34" spans="1:22">
      <c r="A34" s="63" t="e" vm="30">
        <v>#VALUE!</v>
      </c>
      <c r="B34" s="54">
        <f>'Privé - Achat&amp;Utilisation'!$C$9</f>
        <v>205.07379999999998</v>
      </c>
      <c r="C34" s="54">
        <f>'Privé - Contravention'!$D$8+'Caché - Accident'!$D$6</f>
        <v>199.67778886260805</v>
      </c>
      <c r="D34" s="282">
        <f>'Privé - Temps'!D50</f>
        <v>2419.0194215748397</v>
      </c>
      <c r="E34" s="54">
        <f>'Indirect - Villes'!M44+'Indirect - Villes'!U44+'Indirect - Prov. &amp; Féd.'!$D$8+'Indirect - Prov. &amp; Féd.'!$D$10</f>
        <v>836.19006899737064</v>
      </c>
      <c r="F34" s="54">
        <f>'Caché - Accident'!$D$7+'Caché - Emprise spatiale'!N48</f>
        <v>1745.7703897956451</v>
      </c>
      <c r="G34" s="54">
        <f>-'Caché - Santé'!D56</f>
        <v>-1923.5557257156165</v>
      </c>
      <c r="H34" s="54">
        <f t="shared" si="0"/>
        <v>2823.7710104374478</v>
      </c>
      <c r="I34" s="54">
        <f t="shared" si="3"/>
        <v>658.40473307739921</v>
      </c>
      <c r="J34" s="54">
        <f t="shared" si="1"/>
        <v>0.23316505858433673</v>
      </c>
      <c r="K34" s="54">
        <f>H34/('Clés de répartition'!H124*2*'Privé - Temps'!$B$11)</f>
        <v>1.0651503127204223</v>
      </c>
      <c r="L34" s="53">
        <f>I34/('Clés de répartition'!H124*2*'Privé - Temps'!$B$11)</f>
        <v>0.24835583506658185</v>
      </c>
      <c r="M34" s="366">
        <f t="shared" si="2"/>
        <v>-1.9193462363098626</v>
      </c>
      <c r="N34" s="366">
        <f>('Auto - résumé'!K34+'Auto - résumé'!L34)/(L34+K34)</f>
        <v>2.0523270233225275</v>
      </c>
      <c r="O34" s="21"/>
      <c r="Q34" s="53"/>
      <c r="R34" s="16"/>
      <c r="T34" s="292"/>
      <c r="U34" s="54"/>
      <c r="V34" s="54"/>
    </row>
    <row r="35" spans="1:22">
      <c r="A35" s="63" t="e" vm="31">
        <v>#VALUE!</v>
      </c>
      <c r="B35" s="54">
        <f>'Privé - Achat&amp;Utilisation'!$C$9</f>
        <v>205.07379999999998</v>
      </c>
      <c r="C35" s="54">
        <f>'Privé - Contravention'!$D$8+'Caché - Accident'!$D$6</f>
        <v>199.67778886260805</v>
      </c>
      <c r="D35" s="282">
        <f>'Privé - Temps'!D51</f>
        <v>1987.8595096265849</v>
      </c>
      <c r="E35" s="54">
        <f>'Indirect - Villes'!M45+'Indirect - Villes'!U45+'Indirect - Prov. &amp; Féd.'!$D$8+'Indirect - Prov. &amp; Féd.'!$D$10</f>
        <v>770.42897748453697</v>
      </c>
      <c r="F35" s="54">
        <f>'Caché - Accident'!$D$7+'Caché - Emprise spatiale'!N49</f>
        <v>664.51861773845224</v>
      </c>
      <c r="G35" s="54">
        <f>-'Caché - Santé'!D57</f>
        <v>-1591.5241281801432</v>
      </c>
      <c r="H35" s="54">
        <f t="shared" si="0"/>
        <v>2392.611098489193</v>
      </c>
      <c r="I35" s="54">
        <f t="shared" si="3"/>
        <v>-156.57653295715409</v>
      </c>
      <c r="J35" s="54">
        <f t="shared" si="1"/>
        <v>-6.5441698007680335E-2</v>
      </c>
      <c r="K35" s="54">
        <f>H35/('Clés de répartition'!H125*2*'Privé - Temps'!$B$11)</f>
        <v>1.0907998816016116</v>
      </c>
      <c r="L35" s="53">
        <f>I35/('Clés de répartition'!H125*2*'Privé - Temps'!$B$11)</f>
        <v>-7.1383796438586139E-2</v>
      </c>
      <c r="M35" s="366">
        <f t="shared" si="2"/>
        <v>0.55166902356523473</v>
      </c>
      <c r="N35" s="366">
        <f>('Auto - résumé'!K35+'Auto - résumé'!L35)/(L35+K35)</f>
        <v>2.4346563458204424</v>
      </c>
      <c r="O35" s="21"/>
      <c r="Q35" s="53"/>
      <c r="R35" s="16"/>
      <c r="T35" s="292"/>
      <c r="U35" s="54"/>
      <c r="V35" s="54"/>
    </row>
    <row r="36" spans="1:22">
      <c r="A36" s="63" t="e" vm="32">
        <v>#VALUE!</v>
      </c>
      <c r="B36" s="54">
        <f>'Privé - Achat&amp;Utilisation'!$C$9</f>
        <v>205.07379999999998</v>
      </c>
      <c r="C36" s="54">
        <f>'Privé - Contravention'!$D$8+'Caché - Accident'!$D$6</f>
        <v>199.67778886260805</v>
      </c>
      <c r="D36" s="282">
        <f>'Privé - Temps'!D52</f>
        <v>3673.7272161221099</v>
      </c>
      <c r="E36" s="54">
        <f>'Indirect - Villes'!M46+'Indirect - Villes'!U46+'Indirect - Prov. &amp; Féd.'!$D$8+'Indirect - Prov. &amp; Féd.'!$D$10</f>
        <v>778.01900870924123</v>
      </c>
      <c r="F36" s="54">
        <f>'Caché - Accident'!$D$7+'Caché - Emprise spatiale'!N50</f>
        <v>1532.8425101464807</v>
      </c>
      <c r="G36" s="54">
        <f>-'Caché - Santé'!D58</f>
        <v>-2980.0285241482375</v>
      </c>
      <c r="H36" s="54">
        <f t="shared" si="0"/>
        <v>4078.478804984718</v>
      </c>
      <c r="I36" s="54">
        <f t="shared" si="3"/>
        <v>-669.16700529251557</v>
      </c>
      <c r="J36" s="54">
        <f t="shared" si="1"/>
        <v>-0.164072694082573</v>
      </c>
      <c r="K36" s="54">
        <f>H36/('Clés de répartition'!H126*2*'Privé - Temps'!$B$11)</f>
        <v>0.9930336949380546</v>
      </c>
      <c r="L36" s="53">
        <f>I36/('Clés de répartition'!H126*2*'Privé - Temps'!$B$11)</f>
        <v>-0.16292971364325856</v>
      </c>
      <c r="M36" s="366">
        <f t="shared" si="2"/>
        <v>1.2591551657338558</v>
      </c>
      <c r="N36" s="366">
        <f>('Auto - résumé'!K36+'Auto - résumé'!L36)/(L36+K36)</f>
        <v>2.8895005606130084</v>
      </c>
      <c r="O36" s="21"/>
      <c r="Q36" s="53"/>
      <c r="R36" s="16"/>
      <c r="T36" s="292"/>
      <c r="U36" s="54"/>
      <c r="V36" s="54"/>
    </row>
    <row r="37" spans="1:22">
      <c r="A37" s="63" t="e" vm="33">
        <v>#VALUE!</v>
      </c>
      <c r="B37" s="54">
        <f>'Privé - Achat&amp;Utilisation'!$C$9</f>
        <v>205.07379999999998</v>
      </c>
      <c r="C37" s="54">
        <f>'Privé - Contravention'!$D$8+'Caché - Accident'!$D$6</f>
        <v>199.67778886260805</v>
      </c>
      <c r="D37" s="282">
        <f>'Privé - Temps'!D53</f>
        <v>1933.0773419920552</v>
      </c>
      <c r="E37" s="54">
        <f>'Indirect - Villes'!M47+'Indirect - Villes'!U47+'Indirect - Prov. &amp; Féd.'!$D$8+'Indirect - Prov. &amp; Féd.'!$D$10</f>
        <v>778.26799795880629</v>
      </c>
      <c r="F37" s="54">
        <f>'Caché - Accident'!$D$7+'Caché - Emprise spatiale'!N51</f>
        <v>1122.5433932510539</v>
      </c>
      <c r="G37" s="54">
        <f>-'Caché - Santé'!D59</f>
        <v>-1429.6914879397159</v>
      </c>
      <c r="H37" s="54">
        <f t="shared" si="0"/>
        <v>2337.8289308546632</v>
      </c>
      <c r="I37" s="54">
        <f t="shared" si="3"/>
        <v>471.11990327014428</v>
      </c>
      <c r="J37" s="54">
        <f t="shared" si="1"/>
        <v>0.20152026397325501</v>
      </c>
      <c r="K37" s="54">
        <f>H37/('Clés de répartition'!H127*2*'Privé - Temps'!$B$11)</f>
        <v>1.1864695411336339</v>
      </c>
      <c r="L37" s="53">
        <f>I37/('Clés de répartition'!H127*2*'Privé - Temps'!$B$11)</f>
        <v>0.23909765512547665</v>
      </c>
      <c r="M37" s="366">
        <f t="shared" si="2"/>
        <v>-1.8477970704918907</v>
      </c>
      <c r="N37" s="366">
        <f>('Auto - résumé'!K37+'Auto - résumé'!L37)/(L37+K37)</f>
        <v>2.3670747315737573</v>
      </c>
      <c r="O37" t="s">
        <v>632</v>
      </c>
      <c r="Q37" s="53"/>
      <c r="U37" s="54"/>
      <c r="V37" s="54"/>
    </row>
    <row r="38" spans="1:22">
      <c r="A38" s="63" t="e" vm="34">
        <v>#VALUE!</v>
      </c>
      <c r="B38" s="54">
        <f>'Privé - Achat&amp;Utilisation'!$C$9</f>
        <v>205.07379999999998</v>
      </c>
      <c r="C38" s="54">
        <f>'Privé - Contravention'!$D$8+'Caché - Accident'!$D$6</f>
        <v>199.67778886260805</v>
      </c>
      <c r="D38" s="282">
        <f>'Privé - Temps'!D54</f>
        <v>2401.9921159240885</v>
      </c>
      <c r="E38" s="54">
        <f>'Indirect - Villes'!M48+'Indirect - Villes'!U48+'Indirect - Prov. &amp; Féd.'!$D$8+'Indirect - Prov. &amp; Féd.'!$D$10</f>
        <v>771.8185383764993</v>
      </c>
      <c r="F38" s="54">
        <f>'Caché - Accident'!$D$7+'Caché - Emprise spatiale'!N52</f>
        <v>361.58571137868773</v>
      </c>
      <c r="G38" s="54">
        <f>-'Caché - Santé'!D60</f>
        <v>-1947.424311112334</v>
      </c>
      <c r="H38" s="54">
        <f t="shared" si="0"/>
        <v>2806.7437047866965</v>
      </c>
      <c r="I38" s="54">
        <f t="shared" si="3"/>
        <v>-814.02006135714691</v>
      </c>
      <c r="J38" s="54">
        <f t="shared" si="1"/>
        <v>-0.29002294009563295</v>
      </c>
      <c r="K38" s="54">
        <f>H38/('Clés de répartition'!H128*2*'Privé - Temps'!$B$11)</f>
        <v>1.0457511870021499</v>
      </c>
      <c r="L38" s="53">
        <f>I38/('Clés de répartition'!H128*2*'Privé - Temps'!$B$11)</f>
        <v>-0.30329183386286157</v>
      </c>
      <c r="M38" s="366">
        <f t="shared" si="2"/>
        <v>2.3439032131946411</v>
      </c>
      <c r="N38" s="366">
        <f>('Auto - résumé'!K38+'Auto - résumé'!L38)/(L38+K38)</f>
        <v>3.5072624153898335</v>
      </c>
      <c r="O38" s="21"/>
      <c r="P38" s="21"/>
      <c r="Q38" s="53"/>
      <c r="R38" s="16"/>
      <c r="U38" s="54"/>
      <c r="V38" s="54"/>
    </row>
    <row r="39" spans="1:22">
      <c r="C39" s="54"/>
    </row>
    <row r="40" spans="1:22">
      <c r="C40" s="54"/>
      <c r="N40" t="s">
        <v>818</v>
      </c>
    </row>
    <row r="41" spans="1:22">
      <c r="C41" s="54"/>
    </row>
    <row r="42" spans="1:22">
      <c r="C42" s="54"/>
    </row>
    <row r="43" spans="1:22">
      <c r="C43" s="54"/>
    </row>
    <row r="44" spans="1:22">
      <c r="C44" s="54"/>
    </row>
    <row r="45" spans="1:22">
      <c r="C45" s="54"/>
    </row>
    <row r="46" spans="1:22">
      <c r="C46" s="54"/>
    </row>
    <row r="47" spans="1:22">
      <c r="C47" s="54"/>
    </row>
    <row r="48" spans="1:22">
      <c r="C48" s="54"/>
    </row>
  </sheetData>
  <hyperlinks>
    <hyperlink ref="A1" location="'Table des matières'!A1" display="Retour à la Table des matières" xr:uid="{AD026C2A-6509-564D-A6D2-F0D43DB5DD75}"/>
  </hyperlinks>
  <pageMargins left="0.7" right="0.7" top="0.75" bottom="0.75" header="0.3" footer="0.3"/>
  <pageSetup orientation="portrait" horizontalDpi="0" verticalDpi="0"/>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88F70E-4F89-D14A-8FB5-0DD46579EC2A}">
  <sheetPr codeName="Sheet29">
    <tabColor rgb="FF92D050"/>
  </sheetPr>
  <dimension ref="A1:W38"/>
  <sheetViews>
    <sheetView zoomScale="62" zoomScaleNormal="100" workbookViewId="0">
      <selection activeCell="R33" sqref="R33"/>
    </sheetView>
  </sheetViews>
  <sheetFormatPr baseColWidth="10" defaultRowHeight="16"/>
  <cols>
    <col min="1" max="1" width="34" customWidth="1"/>
    <col min="2" max="2" width="9.33203125" customWidth="1"/>
    <col min="3" max="3" width="10.83203125" customWidth="1"/>
    <col min="4" max="4" width="16.33203125" customWidth="1"/>
    <col min="5" max="5" width="18.5" customWidth="1"/>
    <col min="6" max="6" width="14" customWidth="1"/>
    <col min="7" max="7" width="13" customWidth="1"/>
    <col min="10" max="10" width="14.1640625" customWidth="1"/>
    <col min="11" max="11" width="11.5" bestFit="1" customWidth="1"/>
    <col min="12" max="14" width="13.83203125" customWidth="1"/>
    <col min="15" max="15" width="15.5" customWidth="1"/>
    <col min="16" max="16" width="13.83203125" customWidth="1"/>
    <col min="17" max="17" width="46.6640625" customWidth="1"/>
    <col min="18" max="18" width="18.83203125" customWidth="1"/>
    <col min="19" max="19" width="13.5" customWidth="1"/>
  </cols>
  <sheetData>
    <row r="1" spans="1:23" s="114" customFormat="1" ht="53" customHeight="1">
      <c r="A1" s="283" t="s">
        <v>855</v>
      </c>
      <c r="B1" s="283" t="s">
        <v>867</v>
      </c>
      <c r="C1" s="283" t="s">
        <v>868</v>
      </c>
      <c r="D1" s="283" t="s">
        <v>869</v>
      </c>
      <c r="E1" s="283" t="s">
        <v>870</v>
      </c>
      <c r="F1" s="138" t="s">
        <v>871</v>
      </c>
      <c r="G1" s="283" t="s">
        <v>872</v>
      </c>
      <c r="H1" s="138" t="s">
        <v>873</v>
      </c>
      <c r="I1" s="114" t="s">
        <v>874</v>
      </c>
      <c r="J1" s="404" t="s">
        <v>875</v>
      </c>
      <c r="K1" s="138"/>
      <c r="L1" s="138"/>
      <c r="M1" s="138"/>
      <c r="N1" s="138"/>
      <c r="O1" s="138"/>
      <c r="P1" s="138"/>
      <c r="Q1" s="138"/>
      <c r="R1" s="138"/>
      <c r="S1" s="138"/>
      <c r="T1" s="138"/>
    </row>
    <row r="2" spans="1:23" ht="17" customHeight="1">
      <c r="A2" s="502" t="s">
        <v>202</v>
      </c>
      <c r="B2" s="19">
        <f>'Clés de répartition'!H93</f>
        <v>5.2186284078064418</v>
      </c>
      <c r="C2" s="19">
        <f>'Clés de répartition'!D93</f>
        <v>20.272734534760257</v>
      </c>
      <c r="D2" s="19">
        <f>'Privé - Achat&amp;Utilisation'!$C$9</f>
        <v>205.07379999999998</v>
      </c>
      <c r="E2">
        <f>'Privé - Contravention'!$D$8+'Caché - Accident'!$D$6</f>
        <v>199.67778886260805</v>
      </c>
      <c r="F2">
        <f>'Indirect - Prov. &amp; Féd.'!$D$8</f>
        <v>11.701898151934483</v>
      </c>
      <c r="G2">
        <f>'Indirect - Prov. &amp; Féd.'!$D$10</f>
        <v>6.4365502231669218</v>
      </c>
      <c r="H2">
        <f>'Indirect - Villes'!M13+'Indirect - Villes'!U13</f>
        <v>767.92442700895367</v>
      </c>
      <c r="I2">
        <f>'Caché - Accident'!$D$7</f>
        <v>32.097511581101905</v>
      </c>
      <c r="J2">
        <f>'Caché - Emprise spatiale'!N17</f>
        <v>737.47473660951164</v>
      </c>
      <c r="K2" s="54"/>
      <c r="L2" s="54"/>
      <c r="M2" s="54"/>
      <c r="N2" s="54"/>
      <c r="O2" s="54"/>
      <c r="P2" s="366"/>
      <c r="Q2" s="21"/>
      <c r="R2" s="21"/>
      <c r="S2" s="53"/>
      <c r="T2" s="16"/>
    </row>
    <row r="3" spans="1:23">
      <c r="A3" s="502" t="s">
        <v>71</v>
      </c>
      <c r="B3" s="19">
        <f>'Clés de répartition'!H94</f>
        <v>3.65876791704788</v>
      </c>
      <c r="C3" s="19">
        <f>'Clés de répartition'!D94</f>
        <v>11.652302531259499</v>
      </c>
      <c r="D3" s="19">
        <f>'Privé - Achat&amp;Utilisation'!$C$9</f>
        <v>205.07379999999998</v>
      </c>
      <c r="E3">
        <f>'Privé - Contravention'!$D$8+'Caché - Accident'!$D$6</f>
        <v>199.67778886260805</v>
      </c>
      <c r="F3">
        <f>'Indirect - Prov. &amp; Féd.'!$D$8</f>
        <v>11.701898151934483</v>
      </c>
      <c r="G3">
        <f>'Indirect - Prov. &amp; Féd.'!$D$10</f>
        <v>6.4365502231669218</v>
      </c>
      <c r="H3">
        <f>'Indirect - Villes'!M14+'Indirect - Villes'!U14</f>
        <v>2046.6372682945612</v>
      </c>
      <c r="I3">
        <f>'Caché - Accident'!$D$7</f>
        <v>32.097511581101905</v>
      </c>
      <c r="J3">
        <f>'Caché - Emprise spatiale'!N18</f>
        <v>709.69228848328783</v>
      </c>
      <c r="K3" s="54"/>
      <c r="L3" s="54"/>
      <c r="M3" s="54"/>
      <c r="N3" s="54"/>
      <c r="O3" s="54"/>
      <c r="P3" s="366"/>
      <c r="Q3" s="21"/>
      <c r="S3" s="53"/>
      <c r="T3" s="16"/>
      <c r="V3" s="292"/>
      <c r="W3" s="292"/>
    </row>
    <row r="4" spans="1:23">
      <c r="A4" s="502" t="s">
        <v>72</v>
      </c>
      <c r="B4" s="19">
        <f>'Clés de répartition'!H95</f>
        <v>5.8598899320168298</v>
      </c>
      <c r="C4" s="19">
        <f>'Clés de répartition'!D95</f>
        <v>18.3815042624366</v>
      </c>
      <c r="D4" s="19">
        <f>'Privé - Achat&amp;Utilisation'!$C$9</f>
        <v>205.07379999999998</v>
      </c>
      <c r="E4">
        <f>'Privé - Contravention'!$D$8+'Caché - Accident'!$D$6</f>
        <v>199.67778886260805</v>
      </c>
      <c r="F4">
        <f>'Indirect - Prov. &amp; Féd.'!$D$8</f>
        <v>11.701898151934483</v>
      </c>
      <c r="G4">
        <f>'Indirect - Prov. &amp; Féd.'!$D$10</f>
        <v>6.4365502231669218</v>
      </c>
      <c r="H4">
        <f>'Indirect - Villes'!M15+'Indirect - Villes'!U15</f>
        <v>1640.4563753505201</v>
      </c>
      <c r="I4">
        <f>'Caché - Accident'!$D$7</f>
        <v>32.097511581101905</v>
      </c>
      <c r="J4">
        <f>'Caché - Emprise spatiale'!N19</f>
        <v>1817.5360276920289</v>
      </c>
      <c r="K4" s="54"/>
      <c r="L4" s="54"/>
      <c r="M4" s="54"/>
      <c r="N4" s="54"/>
      <c r="O4" s="54"/>
      <c r="P4" s="366"/>
      <c r="Q4" s="21"/>
      <c r="S4" s="53"/>
      <c r="T4" s="16"/>
      <c r="V4" s="292"/>
      <c r="W4" s="292"/>
    </row>
    <row r="5" spans="1:23">
      <c r="A5" s="502" t="s">
        <v>73</v>
      </c>
      <c r="B5" s="19">
        <f>'Clés de répartition'!H96</f>
        <v>5.3416131662080897</v>
      </c>
      <c r="C5" s="19">
        <f>'Clés de répartition'!D96</f>
        <v>20.054565372465099</v>
      </c>
      <c r="D5" s="19">
        <f>'Privé - Achat&amp;Utilisation'!$C$9</f>
        <v>205.07379999999998</v>
      </c>
      <c r="E5">
        <f>'Privé - Contravention'!$D$8+'Caché - Accident'!$D$6</f>
        <v>199.67778886260805</v>
      </c>
      <c r="F5">
        <f>'Indirect - Prov. &amp; Féd.'!$D$8</f>
        <v>11.701898151934483</v>
      </c>
      <c r="G5">
        <f>'Indirect - Prov. &amp; Féd.'!$D$10</f>
        <v>6.4365502231669218</v>
      </c>
      <c r="H5">
        <f>'Indirect - Villes'!M16+'Indirect - Villes'!U16</f>
        <v>1253.4763535006705</v>
      </c>
      <c r="I5">
        <f>'Caché - Accident'!$D$7</f>
        <v>32.097511581101905</v>
      </c>
      <c r="J5">
        <f>'Caché - Emprise spatiale'!N20</f>
        <v>265.68670249327891</v>
      </c>
      <c r="K5" s="54"/>
      <c r="L5" s="54"/>
      <c r="M5" s="54"/>
      <c r="N5" s="54"/>
      <c r="O5" s="54"/>
      <c r="P5" s="366"/>
      <c r="Q5" s="21"/>
      <c r="R5" s="54"/>
      <c r="S5" s="53"/>
      <c r="T5" s="16"/>
      <c r="V5" s="292"/>
      <c r="W5" s="292"/>
    </row>
    <row r="6" spans="1:23">
      <c r="A6" s="502" t="s">
        <v>74</v>
      </c>
      <c r="B6" s="19">
        <f>'Clés de répartition'!H97</f>
        <v>12.570100806451601</v>
      </c>
      <c r="C6" s="19">
        <f>'Clés de répartition'!D97</f>
        <v>42.768487903225797</v>
      </c>
      <c r="D6" s="19">
        <f>'Privé - Achat&amp;Utilisation'!$C$9</f>
        <v>205.07379999999998</v>
      </c>
      <c r="E6">
        <f>'Privé - Contravention'!$D$8+'Caché - Accident'!$D$6</f>
        <v>199.67778886260805</v>
      </c>
      <c r="F6">
        <f>'Indirect - Prov. &amp; Féd.'!$D$8</f>
        <v>11.701898151934483</v>
      </c>
      <c r="G6">
        <f>'Indirect - Prov. &amp; Féd.'!$D$10</f>
        <v>6.4365502231669218</v>
      </c>
      <c r="H6">
        <f>'Indirect - Villes'!M17+'Indirect - Villes'!U17</f>
        <v>1065.2918042892125</v>
      </c>
      <c r="I6">
        <f>'Caché - Accident'!$D$7</f>
        <v>32.097511581101905</v>
      </c>
      <c r="J6">
        <f>'Caché - Emprise spatiale'!N21</f>
        <v>3510.3999481821402</v>
      </c>
      <c r="K6" s="54"/>
      <c r="L6" s="54"/>
      <c r="M6" s="54"/>
      <c r="N6" s="54"/>
      <c r="O6" s="54"/>
      <c r="P6" s="366"/>
      <c r="Q6" s="21"/>
      <c r="R6" s="54"/>
      <c r="S6" s="53"/>
      <c r="T6" s="16"/>
      <c r="V6" s="292"/>
      <c r="W6" s="292"/>
    </row>
    <row r="7" spans="1:23">
      <c r="A7" s="502" t="s">
        <v>86</v>
      </c>
      <c r="B7" s="19">
        <f>'Clés de répartition'!H98</f>
        <v>7.3402259936686596</v>
      </c>
      <c r="C7" s="19">
        <f>'Clés de répartition'!D98</f>
        <v>25.136088638761901</v>
      </c>
      <c r="D7" s="19">
        <f>'Privé - Achat&amp;Utilisation'!$C$9</f>
        <v>205.07379999999998</v>
      </c>
      <c r="E7">
        <f>'Privé - Contravention'!$D$8+'Caché - Accident'!$D$6</f>
        <v>199.67778886260805</v>
      </c>
      <c r="F7">
        <f>'Indirect - Prov. &amp; Féd.'!$D$8</f>
        <v>11.701898151934483</v>
      </c>
      <c r="G7">
        <f>'Indirect - Prov. &amp; Féd.'!$D$10</f>
        <v>6.4365502231669218</v>
      </c>
      <c r="H7">
        <f>'Indirect - Villes'!M18+'Indirect - Villes'!U18</f>
        <v>1227.8208912130342</v>
      </c>
      <c r="I7">
        <f>'Caché - Accident'!$D$7</f>
        <v>32.097511581101905</v>
      </c>
      <c r="J7">
        <f>'Caché - Emprise spatiale'!N22</f>
        <v>641.08342673056552</v>
      </c>
      <c r="K7" s="54"/>
      <c r="L7" s="54"/>
      <c r="M7" s="54"/>
      <c r="N7" s="54"/>
      <c r="O7" s="54"/>
      <c r="P7" s="366"/>
      <c r="Q7" s="21"/>
      <c r="S7" s="53"/>
      <c r="T7" s="16"/>
      <c r="V7" s="292"/>
      <c r="W7" s="292"/>
    </row>
    <row r="8" spans="1:23">
      <c r="A8" s="502" t="s">
        <v>76</v>
      </c>
      <c r="B8" s="19">
        <f>'Clés de répartition'!H99</f>
        <v>7.6418929356544503</v>
      </c>
      <c r="C8" s="19">
        <f>'Clés de répartition'!D99</f>
        <v>29.319636385241498</v>
      </c>
      <c r="D8" s="19">
        <f>'Privé - Achat&amp;Utilisation'!$C$9</f>
        <v>205.07379999999998</v>
      </c>
      <c r="E8">
        <f>'Privé - Contravention'!$D$8+'Caché - Accident'!$D$6</f>
        <v>199.67778886260805</v>
      </c>
      <c r="F8">
        <f>'Indirect - Prov. &amp; Féd.'!$D$8</f>
        <v>11.701898151934483</v>
      </c>
      <c r="G8">
        <f>'Indirect - Prov. &amp; Féd.'!$D$10</f>
        <v>6.4365502231669218</v>
      </c>
      <c r="H8">
        <f>'Indirect - Villes'!M19+'Indirect - Villes'!U19</f>
        <v>606.97889062334934</v>
      </c>
      <c r="I8">
        <f>'Caché - Accident'!$D$7</f>
        <v>32.097511581101905</v>
      </c>
      <c r="J8">
        <f>'Caché - Emprise spatiale'!N23</f>
        <v>992.78262289763029</v>
      </c>
      <c r="K8" s="54"/>
      <c r="L8" s="54"/>
      <c r="M8" s="54"/>
      <c r="N8" s="54"/>
      <c r="O8" s="54"/>
      <c r="P8" s="366"/>
      <c r="Q8" s="21"/>
      <c r="R8" s="54"/>
      <c r="S8" s="53"/>
      <c r="T8" s="16"/>
      <c r="V8" s="292"/>
      <c r="W8" s="292"/>
    </row>
    <row r="9" spans="1:23">
      <c r="A9" s="502" t="s">
        <v>77</v>
      </c>
      <c r="B9" s="19">
        <f>'Clés de répartition'!H100</f>
        <v>1</v>
      </c>
      <c r="C9" s="19">
        <f>'Clés de répartition'!D100</f>
        <v>4.3</v>
      </c>
      <c r="D9" s="19">
        <f>'Privé - Achat&amp;Utilisation'!$C$9</f>
        <v>205.07379999999998</v>
      </c>
      <c r="E9">
        <f>'Privé - Contravention'!$D$8+'Caché - Accident'!$D$6</f>
        <v>199.67778886260805</v>
      </c>
      <c r="F9">
        <f>'Indirect - Prov. &amp; Féd.'!$D$8</f>
        <v>11.701898151934483</v>
      </c>
      <c r="G9">
        <f>'Indirect - Prov. &amp; Féd.'!$D$10</f>
        <v>6.4365502231669218</v>
      </c>
      <c r="H9">
        <f>'Indirect - Villes'!M20+'Indirect - Villes'!U20</f>
        <v>2699.5855476750239</v>
      </c>
      <c r="I9">
        <f>'Caché - Accident'!$D$7</f>
        <v>32.097511581101905</v>
      </c>
      <c r="J9">
        <f>'Caché - Emprise spatiale'!N24</f>
        <v>130.22077679123862</v>
      </c>
      <c r="K9" s="54"/>
      <c r="L9" s="54"/>
      <c r="M9" s="54"/>
      <c r="N9" s="54"/>
      <c r="O9" s="54"/>
      <c r="P9" s="366"/>
      <c r="Q9" s="21"/>
      <c r="S9" s="53"/>
      <c r="T9" s="16"/>
      <c r="V9" s="292"/>
      <c r="W9" s="292"/>
    </row>
    <row r="10" spans="1:23">
      <c r="A10" s="502" t="s">
        <v>79</v>
      </c>
      <c r="B10" s="19">
        <f>'Clés de répartition'!H101</f>
        <v>5.1789098297498768</v>
      </c>
      <c r="C10" s="19">
        <f>'Clés de répartition'!D101</f>
        <v>20.183773231005418</v>
      </c>
      <c r="D10" s="19">
        <f>'Privé - Achat&amp;Utilisation'!$C$9</f>
        <v>205.07379999999998</v>
      </c>
      <c r="E10">
        <f>'Privé - Contravention'!$D$8+'Caché - Accident'!$D$6</f>
        <v>199.67778886260805</v>
      </c>
      <c r="F10">
        <f>'Indirect - Prov. &amp; Féd.'!$D$8</f>
        <v>11.701898151934483</v>
      </c>
      <c r="G10">
        <f>'Indirect - Prov. &amp; Féd.'!$D$10</f>
        <v>6.4365502231669218</v>
      </c>
      <c r="H10">
        <f>'Indirect - Villes'!M21+'Indirect - Villes'!U21</f>
        <v>760.23696563315752</v>
      </c>
      <c r="I10">
        <f>'Caché - Accident'!$D$7</f>
        <v>32.097511581101905</v>
      </c>
      <c r="J10">
        <f>'Caché - Emprise spatiale'!N25</f>
        <v>715.32435030903162</v>
      </c>
      <c r="K10" s="54"/>
      <c r="L10" s="54"/>
      <c r="M10" s="54"/>
      <c r="N10" s="54"/>
      <c r="O10" s="54"/>
      <c r="P10" s="366"/>
      <c r="Q10" s="21"/>
      <c r="R10" s="53"/>
      <c r="S10" s="53"/>
      <c r="T10" s="16"/>
      <c r="V10" s="292"/>
      <c r="W10" s="292"/>
    </row>
    <row r="11" spans="1:23">
      <c r="A11" s="502" t="s">
        <v>80</v>
      </c>
      <c r="B11" s="19">
        <f>'Clés de répartition'!H102</f>
        <v>9.2713511315896504</v>
      </c>
      <c r="C11" s="19">
        <f>'Clés de répartition'!D102</f>
        <v>32.432267244884102</v>
      </c>
      <c r="D11" s="19">
        <f>'Privé - Achat&amp;Utilisation'!$C$9</f>
        <v>205.07379999999998</v>
      </c>
      <c r="E11">
        <f>'Privé - Contravention'!$D$8+'Caché - Accident'!$D$6</f>
        <v>199.67778886260805</v>
      </c>
      <c r="F11">
        <f>'Indirect - Prov. &amp; Féd.'!$D$8</f>
        <v>11.701898151934483</v>
      </c>
      <c r="G11">
        <f>'Indirect - Prov. &amp; Féd.'!$D$10</f>
        <v>6.4365502231669218</v>
      </c>
      <c r="H11">
        <f>'Indirect - Villes'!M22+'Indirect - Villes'!U22</f>
        <v>1683.6994297304623</v>
      </c>
      <c r="I11">
        <f>'Caché - Accident'!$D$7</f>
        <v>32.097511581101905</v>
      </c>
      <c r="J11">
        <f>'Caché - Emprise spatiale'!N26</f>
        <v>1289.2374436086102</v>
      </c>
      <c r="K11" s="54"/>
      <c r="L11" s="54"/>
      <c r="M11" s="54"/>
      <c r="N11" s="54"/>
      <c r="O11" s="54"/>
      <c r="P11" s="366"/>
      <c r="Q11" s="21"/>
      <c r="S11" s="53"/>
      <c r="T11" s="16"/>
      <c r="V11" s="292"/>
      <c r="W11" s="292"/>
    </row>
    <row r="12" spans="1:23">
      <c r="A12" s="502" t="s">
        <v>81</v>
      </c>
      <c r="B12" s="19">
        <f>'Clés de répartition'!H103</f>
        <v>8.1728881278538807</v>
      </c>
      <c r="C12" s="19">
        <f>'Clés de répartition'!D103</f>
        <v>27.901855022831</v>
      </c>
      <c r="D12" s="19">
        <f>'Privé - Achat&amp;Utilisation'!$C$9</f>
        <v>205.07379999999998</v>
      </c>
      <c r="E12">
        <f>'Privé - Contravention'!$D$8+'Caché - Accident'!$D$6</f>
        <v>199.67778886260805</v>
      </c>
      <c r="F12">
        <f>'Indirect - Prov. &amp; Féd.'!$D$8</f>
        <v>11.701898151934483</v>
      </c>
      <c r="G12">
        <f>'Indirect - Prov. &amp; Féd.'!$D$10</f>
        <v>6.4365502231669218</v>
      </c>
      <c r="H12">
        <f>'Indirect - Villes'!M23+'Indirect - Villes'!U23</f>
        <v>838.99934997970331</v>
      </c>
      <c r="I12">
        <f>'Caché - Accident'!$D$7</f>
        <v>32.097511581101905</v>
      </c>
      <c r="J12">
        <f>'Caché - Emprise spatiale'!N27</f>
        <v>735.94184497129527</v>
      </c>
      <c r="K12" s="54"/>
      <c r="L12" s="54"/>
      <c r="M12" s="54"/>
      <c r="N12" s="54"/>
      <c r="O12" s="54"/>
      <c r="P12" s="366"/>
      <c r="Q12" s="21"/>
      <c r="S12" s="53"/>
      <c r="T12" s="16"/>
      <c r="V12" s="292"/>
      <c r="W12" s="292"/>
    </row>
    <row r="13" spans="1:23">
      <c r="A13" s="502" t="s">
        <v>78</v>
      </c>
      <c r="B13" s="19">
        <f>'Clés de répartition'!H104</f>
        <v>6.4680256814388999</v>
      </c>
      <c r="C13" s="19">
        <f>'Clés de répartition'!D104</f>
        <v>26.3246963656592</v>
      </c>
      <c r="D13" s="19">
        <f>'Privé - Achat&amp;Utilisation'!$C$9</f>
        <v>205.07379999999998</v>
      </c>
      <c r="E13">
        <f>'Privé - Contravention'!$D$8+'Caché - Accident'!$D$6</f>
        <v>199.67778886260805</v>
      </c>
      <c r="F13">
        <f>'Indirect - Prov. &amp; Féd.'!$D$8</f>
        <v>11.701898151934483</v>
      </c>
      <c r="G13">
        <f>'Indirect - Prov. &amp; Féd.'!$D$10</f>
        <v>6.4365502231669218</v>
      </c>
      <c r="H13">
        <f>'Indirect - Villes'!M24+'Indirect - Villes'!U24</f>
        <v>704.17340236668838</v>
      </c>
      <c r="I13">
        <f>'Caché - Accident'!$D$7</f>
        <v>32.097511581101905</v>
      </c>
      <c r="J13">
        <f>'Caché - Emprise spatiale'!N28</f>
        <v>1028.1396832533453</v>
      </c>
      <c r="K13" s="54"/>
      <c r="L13" s="54"/>
      <c r="M13" s="54"/>
      <c r="N13" s="54"/>
      <c r="O13" s="54"/>
      <c r="P13" s="366"/>
      <c r="Q13" s="21"/>
      <c r="S13" s="53"/>
      <c r="T13" s="16"/>
      <c r="V13" s="292"/>
      <c r="W13" s="292"/>
    </row>
    <row r="14" spans="1:23">
      <c r="A14" s="502" t="s">
        <v>82</v>
      </c>
      <c r="B14" s="19">
        <f>'Clés de répartition'!H105</f>
        <v>6.1451600035457803</v>
      </c>
      <c r="C14" s="19">
        <f>'Clés de répartition'!D105</f>
        <v>19.636135980852799</v>
      </c>
      <c r="D14" s="19">
        <f>'Privé - Achat&amp;Utilisation'!$C$9</f>
        <v>205.07379999999998</v>
      </c>
      <c r="E14">
        <f>'Privé - Contravention'!$D$8+'Caché - Accident'!$D$6</f>
        <v>199.67778886260805</v>
      </c>
      <c r="F14">
        <f>'Indirect - Prov. &amp; Féd.'!$D$8</f>
        <v>11.701898151934483</v>
      </c>
      <c r="G14">
        <f>'Indirect - Prov. &amp; Féd.'!$D$10</f>
        <v>6.4365502231669218</v>
      </c>
      <c r="H14">
        <f>'Indirect - Villes'!M25+'Indirect - Villes'!U25</f>
        <v>581.87458577245388</v>
      </c>
      <c r="I14">
        <f>'Caché - Accident'!$D$7</f>
        <v>32.097511581101905</v>
      </c>
      <c r="J14">
        <f>'Caché - Emprise spatiale'!N29</f>
        <v>1396.5447127395073</v>
      </c>
      <c r="K14" s="54"/>
      <c r="L14" s="54"/>
      <c r="M14" s="54"/>
      <c r="N14" s="54"/>
      <c r="O14" s="54"/>
      <c r="P14" s="366"/>
      <c r="Q14" s="21"/>
      <c r="S14" s="53"/>
      <c r="T14" s="16"/>
      <c r="V14" s="292"/>
      <c r="W14" s="292"/>
    </row>
    <row r="15" spans="1:23">
      <c r="A15" s="502" t="s">
        <v>83</v>
      </c>
      <c r="B15" s="19">
        <f>'Clés de répartition'!H106</f>
        <v>2.6</v>
      </c>
      <c r="C15" s="19">
        <f>'Clés de répartition'!D106</f>
        <v>8.9</v>
      </c>
      <c r="D15" s="19">
        <f>'Privé - Achat&amp;Utilisation'!$C$9</f>
        <v>205.07379999999998</v>
      </c>
      <c r="E15">
        <f>'Privé - Contravention'!$D$8+'Caché - Accident'!$D$6</f>
        <v>199.67778886260805</v>
      </c>
      <c r="F15">
        <f>'Indirect - Prov. &amp; Féd.'!$D$8</f>
        <v>11.701898151934483</v>
      </c>
      <c r="G15">
        <f>'Indirect - Prov. &amp; Féd.'!$D$10</f>
        <v>6.4365502231669218</v>
      </c>
      <c r="H15">
        <f>'Indirect - Villes'!M26+'Indirect - Villes'!U26</f>
        <v>3451.2972085799784</v>
      </c>
      <c r="I15">
        <f>'Caché - Accident'!$D$7</f>
        <v>32.097511581101905</v>
      </c>
      <c r="J15">
        <f>'Caché - Emprise spatiale'!N30</f>
        <v>2831.4066068225825</v>
      </c>
      <c r="K15" s="54"/>
      <c r="L15" s="54"/>
      <c r="M15" s="54"/>
      <c r="N15" s="54"/>
      <c r="O15" s="54"/>
      <c r="P15" s="366"/>
      <c r="Q15" s="21"/>
      <c r="S15" s="53"/>
      <c r="T15" s="16"/>
      <c r="V15" s="292"/>
      <c r="W15" s="292"/>
    </row>
    <row r="16" spans="1:23">
      <c r="A16" s="502" t="s">
        <v>84</v>
      </c>
      <c r="B16" s="19">
        <f>'Clés de répartition'!H107</f>
        <v>15.422260495156101</v>
      </c>
      <c r="C16" s="19">
        <f>'Clés de répartition'!D107</f>
        <v>52.962045209903103</v>
      </c>
      <c r="D16" s="19">
        <f>'Privé - Achat&amp;Utilisation'!$C$9</f>
        <v>205.07379999999998</v>
      </c>
      <c r="E16">
        <f>'Privé - Contravention'!$D$8+'Caché - Accident'!$D$6</f>
        <v>199.67778886260805</v>
      </c>
      <c r="F16">
        <f>'Indirect - Prov. &amp; Féd.'!$D$8</f>
        <v>11.701898151934483</v>
      </c>
      <c r="G16">
        <f>'Indirect - Prov. &amp; Féd.'!$D$10</f>
        <v>6.4365502231669218</v>
      </c>
      <c r="H16">
        <f>'Indirect - Villes'!M27+'Indirect - Villes'!U27</f>
        <v>475.66473304029375</v>
      </c>
      <c r="I16">
        <f>'Caché - Accident'!$D$7</f>
        <v>32.097511581101905</v>
      </c>
      <c r="J16">
        <f>'Caché - Emprise spatiale'!N31</f>
        <v>1.7988732535209289</v>
      </c>
      <c r="K16" s="54"/>
      <c r="L16" s="54"/>
      <c r="M16" s="54"/>
      <c r="N16" s="54"/>
      <c r="O16" s="54"/>
      <c r="P16" s="366"/>
      <c r="Q16" s="21"/>
      <c r="S16" s="53"/>
      <c r="T16" s="16"/>
      <c r="V16" s="292"/>
      <c r="W16" s="292"/>
    </row>
    <row r="17" spans="1:23">
      <c r="A17" s="502" t="s">
        <v>85</v>
      </c>
      <c r="B17" s="19">
        <f>'Clés de répartition'!H108</f>
        <v>3.498756758971</v>
      </c>
      <c r="C17" s="19">
        <f>'Clés de répartition'!D108</f>
        <v>14.743578977552</v>
      </c>
      <c r="D17" s="19">
        <f>'Privé - Achat&amp;Utilisation'!$C$9</f>
        <v>205.07379999999998</v>
      </c>
      <c r="E17">
        <f>'Privé - Contravention'!$D$8+'Caché - Accident'!$D$6</f>
        <v>199.67778886260805</v>
      </c>
      <c r="F17">
        <f>'Indirect - Prov. &amp; Féd.'!$D$8</f>
        <v>11.701898151934483</v>
      </c>
      <c r="G17">
        <f>'Indirect - Prov. &amp; Féd.'!$D$10</f>
        <v>6.4365502231669218</v>
      </c>
      <c r="H17">
        <f>'Indirect - Villes'!M28+'Indirect - Villes'!U28</f>
        <v>824.6811253386486</v>
      </c>
      <c r="I17">
        <f>'Caché - Accident'!$D$7</f>
        <v>32.097511581101905</v>
      </c>
      <c r="J17">
        <f>'Caché - Emprise spatiale'!N32</f>
        <v>1920.3828628791396</v>
      </c>
      <c r="K17" s="54"/>
      <c r="L17" s="54"/>
      <c r="M17" s="54"/>
      <c r="N17" s="54"/>
      <c r="O17" s="54"/>
      <c r="P17" s="366"/>
      <c r="Q17" s="21"/>
      <c r="S17" s="53"/>
      <c r="T17" s="16"/>
      <c r="V17" s="292"/>
      <c r="W17" s="292"/>
    </row>
    <row r="18" spans="1:23">
      <c r="A18" s="502" t="s">
        <v>154</v>
      </c>
      <c r="B18" s="19">
        <f>'Clés de répartition'!H110</f>
        <v>6.6470734970885097</v>
      </c>
      <c r="C18" s="19">
        <f>'Clés de répartition'!D110</f>
        <v>25.065600293558401</v>
      </c>
      <c r="D18" s="19">
        <f>'Privé - Achat&amp;Utilisation'!$C$9</f>
        <v>205.07379999999998</v>
      </c>
      <c r="E18">
        <f>'Privé - Contravention'!$D$8+'Caché - Accident'!$D$6</f>
        <v>199.67778886260805</v>
      </c>
      <c r="F18">
        <f>'Indirect - Prov. &amp; Féd.'!$D$8</f>
        <v>11.701898151934483</v>
      </c>
      <c r="G18">
        <f>'Indirect - Prov. &amp; Féd.'!$D$10</f>
        <v>6.4365502231669218</v>
      </c>
      <c r="H18">
        <f>'Indirect - Villes'!M30+'Indirect - Villes'!U30</f>
        <v>761.69150444785328</v>
      </c>
      <c r="I18">
        <f>'Caché - Accident'!$D$7</f>
        <v>32.097511581101905</v>
      </c>
      <c r="J18">
        <f>'Caché - Emprise spatiale'!N34</f>
        <v>749.53802615089865</v>
      </c>
      <c r="K18" s="54"/>
      <c r="L18" s="54"/>
      <c r="M18" s="54"/>
      <c r="N18" s="54"/>
      <c r="O18" s="20"/>
      <c r="P18" s="366"/>
      <c r="Q18" s="21"/>
      <c r="S18" s="53"/>
      <c r="T18" s="16"/>
      <c r="V18" s="292"/>
      <c r="W18" s="292"/>
    </row>
    <row r="19" spans="1:23">
      <c r="A19" s="502" t="s">
        <v>155</v>
      </c>
      <c r="B19" s="19">
        <f>'Clés de répartition'!H111</f>
        <v>9.2503441643891104</v>
      </c>
      <c r="C19" s="19">
        <f>'Clés de répartition'!D111</f>
        <v>34.676662617673799</v>
      </c>
      <c r="D19" s="19">
        <f>'Privé - Achat&amp;Utilisation'!$C$9</f>
        <v>205.07379999999998</v>
      </c>
      <c r="E19">
        <f>'Privé - Contravention'!$D$8+'Caché - Accident'!$D$6</f>
        <v>199.67778886260805</v>
      </c>
      <c r="F19">
        <f>'Indirect - Prov. &amp; Féd.'!$D$8</f>
        <v>11.701898151934483</v>
      </c>
      <c r="G19">
        <f>'Indirect - Prov. &amp; Féd.'!$D$10</f>
        <v>6.4365502231669218</v>
      </c>
      <c r="H19">
        <f>'Indirect - Villes'!M31+'Indirect - Villes'!U31</f>
        <v>783.68356349457554</v>
      </c>
      <c r="I19">
        <f>'Caché - Accident'!$D$7</f>
        <v>32.097511581101905</v>
      </c>
      <c r="J19">
        <f>'Caché - Emprise spatiale'!N35</f>
        <v>403.78934172284215</v>
      </c>
      <c r="K19" s="54"/>
      <c r="L19" s="54"/>
      <c r="M19" s="54"/>
      <c r="N19" s="54"/>
      <c r="O19" s="20"/>
      <c r="P19" s="366"/>
      <c r="Q19" s="21"/>
      <c r="S19" s="53"/>
      <c r="T19" s="16"/>
      <c r="V19" s="292"/>
      <c r="W19" s="292"/>
    </row>
    <row r="20" spans="1:23">
      <c r="A20" s="502" t="s">
        <v>156</v>
      </c>
      <c r="B20" s="19">
        <f>'Clés de répartition'!H112</f>
        <v>5.6276242619308103</v>
      </c>
      <c r="C20" s="19">
        <f>'Clés de répartition'!D112</f>
        <v>21.924129064033799</v>
      </c>
      <c r="D20" s="19">
        <f>'Privé - Achat&amp;Utilisation'!$C$9</f>
        <v>205.07379999999998</v>
      </c>
      <c r="E20">
        <f>'Privé - Contravention'!$D$8+'Caché - Accident'!$D$6</f>
        <v>199.67778886260805</v>
      </c>
      <c r="F20">
        <f>'Indirect - Prov. &amp; Féd.'!$D$8</f>
        <v>11.701898151934483</v>
      </c>
      <c r="G20">
        <f>'Indirect - Prov. &amp; Féd.'!$D$10</f>
        <v>6.4365502231669218</v>
      </c>
      <c r="H20">
        <f>'Indirect - Villes'!M32+'Indirect - Villes'!U32</f>
        <v>761.09983834469051</v>
      </c>
      <c r="I20">
        <f>'Caché - Accident'!$D$7</f>
        <v>32.097511581101905</v>
      </c>
      <c r="J20">
        <f>'Caché - Emprise spatiale'!N36</f>
        <v>352.31170578428566</v>
      </c>
      <c r="K20" s="54"/>
      <c r="L20" s="54"/>
      <c r="M20" s="54"/>
      <c r="N20" s="54"/>
      <c r="O20" s="20"/>
      <c r="P20" s="366"/>
      <c r="Q20" s="21"/>
      <c r="S20" s="53"/>
      <c r="T20" s="16"/>
      <c r="V20" s="292"/>
      <c r="W20" s="292"/>
    </row>
    <row r="21" spans="1:23">
      <c r="A21" s="502" t="s">
        <v>403</v>
      </c>
      <c r="B21" s="19">
        <f>'Clés de répartition'!H113</f>
        <v>8.53936235438381</v>
      </c>
      <c r="C21" s="19">
        <f>'Clés de répartition'!D113</f>
        <v>27.931528033244799</v>
      </c>
      <c r="D21" s="19">
        <f>'Privé - Achat&amp;Utilisation'!$C$9</f>
        <v>205.07379999999998</v>
      </c>
      <c r="E21">
        <f>'Privé - Contravention'!$D$8+'Caché - Accident'!$D$6</f>
        <v>199.67778886260805</v>
      </c>
      <c r="F21">
        <f>'Indirect - Prov. &amp; Féd.'!$D$8</f>
        <v>11.701898151934483</v>
      </c>
      <c r="G21">
        <f>'Indirect - Prov. &amp; Féd.'!$D$10</f>
        <v>6.4365502231669218</v>
      </c>
      <c r="H21">
        <f>'Indirect - Villes'!M33+'Indirect - Villes'!U33</f>
        <v>1077.8470080429113</v>
      </c>
      <c r="I21">
        <f>'Caché - Accident'!$D$7</f>
        <v>32.097511581101905</v>
      </c>
      <c r="J21">
        <f>'Caché - Emprise spatiale'!N37</f>
        <v>594.84699519635592</v>
      </c>
      <c r="K21" s="54"/>
      <c r="L21" s="54"/>
      <c r="M21" s="54"/>
      <c r="N21" s="54"/>
      <c r="O21" s="20"/>
      <c r="P21" s="366"/>
      <c r="Q21" s="21"/>
      <c r="S21" s="53"/>
      <c r="T21" s="16"/>
      <c r="V21" s="292"/>
      <c r="W21" s="292"/>
    </row>
    <row r="22" spans="1:23">
      <c r="A22" s="502" t="s">
        <v>168</v>
      </c>
      <c r="B22" s="19">
        <f>'Clés de répartition'!H114</f>
        <v>7.8429046005167597</v>
      </c>
      <c r="C22" s="19">
        <f>'Clés de répartition'!D114</f>
        <v>28.9935673299554</v>
      </c>
      <c r="D22" s="19">
        <f>'Privé - Achat&amp;Utilisation'!$C$9</f>
        <v>205.07379999999998</v>
      </c>
      <c r="E22">
        <f>'Privé - Contravention'!$D$8+'Caché - Accident'!$D$6</f>
        <v>199.67778886260805</v>
      </c>
      <c r="F22">
        <f>'Indirect - Prov. &amp; Féd.'!$D$8</f>
        <v>11.701898151934483</v>
      </c>
      <c r="G22">
        <f>'Indirect - Prov. &amp; Féd.'!$D$10</f>
        <v>6.4365502231669218</v>
      </c>
      <c r="H22">
        <f>'Indirect - Villes'!M34+'Indirect - Villes'!U34</f>
        <v>775.06763661398736</v>
      </c>
      <c r="I22">
        <f>'Caché - Accident'!$D$7</f>
        <v>32.097511581101905</v>
      </c>
      <c r="J22">
        <f>'Caché - Emprise spatiale'!N38</f>
        <v>1071.3455335240114</v>
      </c>
      <c r="K22" s="54"/>
      <c r="L22" s="54"/>
      <c r="M22" s="54"/>
      <c r="N22" s="54"/>
      <c r="O22" s="20"/>
      <c r="P22" s="366"/>
      <c r="Q22" s="21"/>
      <c r="S22" s="53"/>
      <c r="T22" s="16"/>
      <c r="V22" s="292"/>
      <c r="W22" s="292"/>
    </row>
    <row r="23" spans="1:23">
      <c r="A23" s="502" t="s">
        <v>167</v>
      </c>
      <c r="B23" s="19">
        <f>'Clés de répartition'!H115</f>
        <v>7.7456023902386697</v>
      </c>
      <c r="C23" s="19">
        <f>'Clés de répartition'!D115</f>
        <v>25.716692310444799</v>
      </c>
      <c r="D23" s="19">
        <f>'Privé - Achat&amp;Utilisation'!$C$9</f>
        <v>205.07379999999998</v>
      </c>
      <c r="E23">
        <f>'Privé - Contravention'!$D$8+'Caché - Accident'!$D$6</f>
        <v>199.67778886260805</v>
      </c>
      <c r="F23">
        <f>'Indirect - Prov. &amp; Féd.'!$D$8</f>
        <v>11.701898151934483</v>
      </c>
      <c r="G23">
        <f>'Indirect - Prov. &amp; Féd.'!$D$10</f>
        <v>6.4365502231669218</v>
      </c>
      <c r="H23">
        <f>'Indirect - Villes'!M35+'Indirect - Villes'!U35</f>
        <v>763.07952181239739</v>
      </c>
      <c r="I23">
        <f>'Caché - Accident'!$D$7</f>
        <v>32.097511581101905</v>
      </c>
      <c r="J23">
        <f>'Caché - Emprise spatiale'!N39</f>
        <v>1010.0627289578833</v>
      </c>
      <c r="K23" s="54"/>
      <c r="L23" s="54"/>
      <c r="M23" s="54"/>
      <c r="N23" s="54"/>
      <c r="O23" s="20"/>
      <c r="P23" s="366"/>
      <c r="Q23" s="21"/>
      <c r="R23" s="54"/>
      <c r="S23" s="53"/>
      <c r="T23" s="16"/>
      <c r="V23" s="292"/>
      <c r="W23" s="292"/>
    </row>
    <row r="24" spans="1:23">
      <c r="A24" s="502" t="s">
        <v>170</v>
      </c>
      <c r="B24" s="19">
        <f>'Clés de répartition'!H116</f>
        <v>5.4826122457208504</v>
      </c>
      <c r="C24" s="19">
        <f>'Clés de répartition'!D116</f>
        <v>21.923395697667399</v>
      </c>
      <c r="D24" s="19">
        <f>'Privé - Achat&amp;Utilisation'!$C$9</f>
        <v>205.07379999999998</v>
      </c>
      <c r="E24">
        <f>'Privé - Contravention'!$D$8+'Caché - Accident'!$D$6</f>
        <v>199.67778886260805</v>
      </c>
      <c r="F24">
        <f>'Indirect - Prov. &amp; Féd.'!$D$8</f>
        <v>11.701898151934483</v>
      </c>
      <c r="G24">
        <f>'Indirect - Prov. &amp; Féd.'!$D$10</f>
        <v>6.4365502231669218</v>
      </c>
      <c r="H24">
        <f>'Indirect - Villes'!M36+'Indirect - Villes'!U36</f>
        <v>759.70721472543164</v>
      </c>
      <c r="I24">
        <f>'Caché - Accident'!$D$7</f>
        <v>32.097511581101905</v>
      </c>
      <c r="J24">
        <f>'Caché - Emprise spatiale'!N40</f>
        <v>420.88874076268377</v>
      </c>
      <c r="K24" s="54"/>
      <c r="L24" s="54"/>
      <c r="M24" s="54"/>
      <c r="N24" s="54"/>
      <c r="O24" s="20"/>
      <c r="P24" s="366"/>
      <c r="Q24" s="21"/>
      <c r="S24" s="53"/>
      <c r="T24" s="16"/>
      <c r="V24" s="292"/>
      <c r="W24" s="292"/>
    </row>
    <row r="25" spans="1:23">
      <c r="A25" s="502" t="s">
        <v>171</v>
      </c>
      <c r="B25" s="19">
        <f>'Clés de répartition'!H117</f>
        <v>9.6458996602936597</v>
      </c>
      <c r="C25" s="19">
        <f>'Clés de répartition'!D117</f>
        <v>36.923785058536197</v>
      </c>
      <c r="D25" s="19">
        <f>'Privé - Achat&amp;Utilisation'!$C$9</f>
        <v>205.07379999999998</v>
      </c>
      <c r="E25">
        <f>'Privé - Contravention'!$D$8+'Caché - Accident'!$D$6</f>
        <v>199.67778886260805</v>
      </c>
      <c r="F25">
        <f>'Indirect - Prov. &amp; Féd.'!$D$8</f>
        <v>11.701898151934483</v>
      </c>
      <c r="G25">
        <f>'Indirect - Prov. &amp; Féd.'!$D$10</f>
        <v>6.4365502231669218</v>
      </c>
      <c r="H25">
        <f>'Indirect - Villes'!M37+'Indirect - Villes'!U37</f>
        <v>791.66569042171159</v>
      </c>
      <c r="I25">
        <f>'Caché - Accident'!$D$7</f>
        <v>32.097511581101905</v>
      </c>
      <c r="J25">
        <f>'Caché - Emprise spatiale'!N41</f>
        <v>752.49788667278619</v>
      </c>
      <c r="K25" s="54"/>
      <c r="L25" s="54"/>
      <c r="M25" s="54"/>
      <c r="N25" s="54"/>
      <c r="O25" s="20"/>
      <c r="P25" s="366"/>
      <c r="Q25" s="21"/>
      <c r="R25" s="54"/>
      <c r="S25" s="53"/>
      <c r="T25" s="16"/>
      <c r="V25" s="292"/>
      <c r="W25" s="292"/>
    </row>
    <row r="26" spans="1:23">
      <c r="A26" s="502" t="s">
        <v>172</v>
      </c>
      <c r="B26" s="19">
        <f>'Clés de répartition'!H118</f>
        <v>4.6481669796501697</v>
      </c>
      <c r="C26" s="19">
        <f>'Clés de répartition'!D118</f>
        <v>17.930191097095801</v>
      </c>
      <c r="D26" s="19">
        <f>'Privé - Achat&amp;Utilisation'!$C$9</f>
        <v>205.07379999999998</v>
      </c>
      <c r="E26">
        <f>'Privé - Contravention'!$D$8+'Caché - Accident'!$D$6</f>
        <v>199.67778886260805</v>
      </c>
      <c r="F26">
        <f>'Indirect - Prov. &amp; Féd.'!$D$8</f>
        <v>11.701898151934483</v>
      </c>
      <c r="G26">
        <f>'Indirect - Prov. &amp; Féd.'!$D$10</f>
        <v>6.4365502231669218</v>
      </c>
      <c r="H26">
        <f>'Indirect - Villes'!M38+'Indirect - Villes'!U38</f>
        <v>754.12029873844995</v>
      </c>
      <c r="I26">
        <f>'Caché - Accident'!$D$7</f>
        <v>32.097511581101905</v>
      </c>
      <c r="J26">
        <f>'Caché - Emprise spatiale'!N42</f>
        <v>812.17301165899437</v>
      </c>
      <c r="K26" s="54"/>
      <c r="L26" s="54"/>
      <c r="M26" s="54"/>
      <c r="N26" s="54"/>
      <c r="O26" s="20"/>
      <c r="P26" s="366"/>
      <c r="Q26" s="21"/>
      <c r="S26" s="53"/>
      <c r="T26" s="16"/>
      <c r="V26" s="292"/>
      <c r="W26" s="292"/>
    </row>
    <row r="27" spans="1:23">
      <c r="A27" s="502" t="s">
        <v>173</v>
      </c>
      <c r="B27" s="19">
        <f>'Clés de répartition'!H119</f>
        <v>3.5726975832789001</v>
      </c>
      <c r="C27" s="19">
        <f>'Clés de répartition'!D119</f>
        <v>12.401933376877899</v>
      </c>
      <c r="D27" s="19">
        <f>'Privé - Achat&amp;Utilisation'!$C$9</f>
        <v>205.07379999999998</v>
      </c>
      <c r="E27">
        <f>'Privé - Contravention'!$D$8+'Caché - Accident'!$D$6</f>
        <v>199.67778886260805</v>
      </c>
      <c r="F27">
        <f>'Indirect - Prov. &amp; Féd.'!$D$8</f>
        <v>11.701898151934483</v>
      </c>
      <c r="G27">
        <f>'Indirect - Prov. &amp; Féd.'!$D$10</f>
        <v>6.4365502231669218</v>
      </c>
      <c r="H27">
        <f>'Indirect - Villes'!M39+'Indirect - Villes'!U39</f>
        <v>881.60668890064596</v>
      </c>
      <c r="I27">
        <f>'Caché - Accident'!$D$7</f>
        <v>32.097511581101905</v>
      </c>
      <c r="J27">
        <f>'Caché - Emprise spatiale'!N43</f>
        <v>1650.4327866387382</v>
      </c>
      <c r="K27" s="54"/>
      <c r="L27" s="54"/>
      <c r="M27" s="54"/>
      <c r="N27" s="54"/>
      <c r="O27" s="20"/>
      <c r="P27" s="366"/>
      <c r="R27" s="53"/>
      <c r="S27" s="53"/>
      <c r="T27" s="16"/>
      <c r="V27" s="292"/>
      <c r="W27" s="292"/>
    </row>
    <row r="28" spans="1:23">
      <c r="A28" s="502" t="s">
        <v>350</v>
      </c>
      <c r="B28" s="19">
        <f>'Clés de répartition'!H120</f>
        <v>4.0841880124039003</v>
      </c>
      <c r="C28" s="19">
        <f>'Clés de répartition'!D120</f>
        <v>16.469775002477999</v>
      </c>
      <c r="D28" s="19">
        <f>'Privé - Achat&amp;Utilisation'!$C$9</f>
        <v>205.07379999999998</v>
      </c>
      <c r="E28">
        <f>'Privé - Contravention'!$D$8+'Caché - Accident'!$D$6</f>
        <v>199.67778886260805</v>
      </c>
      <c r="F28">
        <f>'Indirect - Prov. &amp; Féd.'!$D$8</f>
        <v>11.701898151934483</v>
      </c>
      <c r="G28">
        <f>'Indirect - Prov. &amp; Féd.'!$D$10</f>
        <v>6.4365502231669218</v>
      </c>
      <c r="H28">
        <f>'Indirect - Villes'!M40+'Indirect - Villes'!U40</f>
        <v>755.51631991520992</v>
      </c>
      <c r="I28">
        <f>'Caché - Accident'!$D$7</f>
        <v>32.097511581101905</v>
      </c>
      <c r="J28">
        <f>'Caché - Emprise spatiale'!N44</f>
        <v>773.4915536680345</v>
      </c>
      <c r="K28" s="54"/>
      <c r="L28" s="54"/>
      <c r="M28" s="54"/>
      <c r="N28" s="54"/>
      <c r="O28" s="20"/>
      <c r="P28" s="366"/>
      <c r="Q28" s="21"/>
      <c r="S28" s="53"/>
      <c r="T28" s="16"/>
      <c r="V28" s="292"/>
      <c r="W28" s="292"/>
    </row>
    <row r="29" spans="1:23">
      <c r="A29" s="502" t="s">
        <v>174</v>
      </c>
      <c r="B29" s="19">
        <f>'Clés de répartition'!H121</f>
        <v>10.088753549544199</v>
      </c>
      <c r="C29" s="19">
        <f>'Clés de répartition'!D121</f>
        <v>34.982327006426502</v>
      </c>
      <c r="D29" s="19">
        <f>'Privé - Achat&amp;Utilisation'!$C$9</f>
        <v>205.07379999999998</v>
      </c>
      <c r="E29">
        <f>'Privé - Contravention'!$D$8+'Caché - Accident'!$D$6</f>
        <v>199.67778886260805</v>
      </c>
      <c r="F29">
        <f>'Indirect - Prov. &amp; Féd.'!$D$8</f>
        <v>11.701898151934483</v>
      </c>
      <c r="G29">
        <f>'Indirect - Prov. &amp; Féd.'!$D$10</f>
        <v>6.4365502231669218</v>
      </c>
      <c r="H29">
        <f>'Indirect - Villes'!M41+'Indirect - Villes'!U41</f>
        <v>937.89987049484137</v>
      </c>
      <c r="I29">
        <f>'Caché - Accident'!$D$7</f>
        <v>32.097511581101905</v>
      </c>
      <c r="J29">
        <f>'Caché - Emprise spatiale'!N45</f>
        <v>2760.9495431705336</v>
      </c>
      <c r="K29" s="54"/>
      <c r="L29" s="54"/>
      <c r="M29" s="54"/>
      <c r="N29" s="54"/>
      <c r="O29" s="20"/>
      <c r="P29" s="366"/>
      <c r="Q29" s="21"/>
      <c r="S29" s="53"/>
      <c r="T29" s="16"/>
      <c r="V29" s="292"/>
      <c r="W29" s="292"/>
    </row>
    <row r="30" spans="1:23">
      <c r="A30" s="502" t="s">
        <v>175</v>
      </c>
      <c r="B30" s="19">
        <f>'Clés de répartition'!H122</f>
        <v>5.1994896829685997</v>
      </c>
      <c r="C30" s="19">
        <f>'Clés de répartition'!D122</f>
        <v>19.9844595034542</v>
      </c>
      <c r="D30" s="19">
        <f>'Privé - Achat&amp;Utilisation'!$C$9</f>
        <v>205.07379999999998</v>
      </c>
      <c r="E30">
        <f>'Privé - Contravention'!$D$8+'Caché - Accident'!$D$6</f>
        <v>199.67778886260805</v>
      </c>
      <c r="F30">
        <f>'Indirect - Prov. &amp; Féd.'!$D$8</f>
        <v>11.701898151934483</v>
      </c>
      <c r="G30">
        <f>'Indirect - Prov. &amp; Féd.'!$D$10</f>
        <v>6.4365502231669218</v>
      </c>
      <c r="H30">
        <f>'Indirect - Villes'!M42+'Indirect - Villes'!U42</f>
        <v>759.48380506293665</v>
      </c>
      <c r="I30">
        <f>'Caché - Accident'!$D$7</f>
        <v>32.097511581101905</v>
      </c>
      <c r="J30">
        <f>'Caché - Emprise spatiale'!N46</f>
        <v>673.56279847578821</v>
      </c>
      <c r="K30" s="54"/>
      <c r="L30" s="54"/>
      <c r="M30" s="54"/>
      <c r="N30" s="54"/>
      <c r="O30" s="20"/>
      <c r="P30" s="366"/>
      <c r="Q30" s="21"/>
      <c r="S30" s="53"/>
      <c r="T30" s="16"/>
      <c r="V30" s="292"/>
      <c r="W30" s="292"/>
    </row>
    <row r="31" spans="1:23">
      <c r="A31" s="502" t="s">
        <v>176</v>
      </c>
      <c r="B31" s="19">
        <f>'Clés de répartition'!H123</f>
        <v>4.5357997037036997</v>
      </c>
      <c r="C31" s="19">
        <f>'Clés de répartition'!D123</f>
        <v>17.478941629629599</v>
      </c>
      <c r="D31" s="19">
        <f>'Privé - Achat&amp;Utilisation'!$C$9</f>
        <v>205.07379999999998</v>
      </c>
      <c r="E31">
        <f>'Privé - Contravention'!$D$8+'Caché - Accident'!$D$6</f>
        <v>199.67778886260805</v>
      </c>
      <c r="F31">
        <f>'Indirect - Prov. &amp; Féd.'!$D$8</f>
        <v>11.701898151934483</v>
      </c>
      <c r="G31">
        <f>'Indirect - Prov. &amp; Féd.'!$D$10</f>
        <v>6.4365502231669218</v>
      </c>
      <c r="H31">
        <f>'Indirect - Villes'!M43+'Indirect - Villes'!U43</f>
        <v>758.59966872391021</v>
      </c>
      <c r="I31">
        <f>'Caché - Accident'!$D$7</f>
        <v>32.097511581101905</v>
      </c>
      <c r="J31">
        <f>'Caché - Emprise spatiale'!N47</f>
        <v>435.17448689284595</v>
      </c>
      <c r="K31" s="54"/>
      <c r="L31" s="54"/>
      <c r="M31" s="54"/>
      <c r="N31" s="54"/>
      <c r="O31" s="20"/>
      <c r="P31" s="366"/>
      <c r="Q31" s="21"/>
      <c r="S31" s="53"/>
      <c r="T31" s="16"/>
      <c r="V31" s="292"/>
      <c r="W31" s="292"/>
    </row>
    <row r="32" spans="1:23">
      <c r="A32" s="502" t="s">
        <v>177</v>
      </c>
      <c r="B32" s="19">
        <f>'Clés de répartition'!H124</f>
        <v>5.3021080249706003</v>
      </c>
      <c r="C32" s="19">
        <f>'Clés de répartition'!D124</f>
        <v>20.7344521849272</v>
      </c>
      <c r="D32" s="19">
        <f>'Privé - Achat&amp;Utilisation'!$C$9</f>
        <v>205.07379999999998</v>
      </c>
      <c r="E32">
        <f>'Privé - Contravention'!$D$8+'Caché - Accident'!$D$6</f>
        <v>199.67778886260805</v>
      </c>
      <c r="F32">
        <f>'Indirect - Prov. &amp; Féd.'!$D$8</f>
        <v>11.701898151934483</v>
      </c>
      <c r="G32">
        <f>'Indirect - Prov. &amp; Féd.'!$D$10</f>
        <v>6.4365502231669218</v>
      </c>
      <c r="H32">
        <f>'Indirect - Villes'!M44+'Indirect - Villes'!U44</f>
        <v>818.05162062226918</v>
      </c>
      <c r="I32">
        <f>'Caché - Accident'!$D$7</f>
        <v>32.097511581101905</v>
      </c>
      <c r="J32">
        <f>'Caché - Emprise spatiale'!N48</f>
        <v>1713.6728782145433</v>
      </c>
      <c r="K32" s="54"/>
      <c r="L32" s="54"/>
      <c r="M32" s="54"/>
      <c r="N32" s="54"/>
      <c r="O32" s="20"/>
      <c r="P32" s="366"/>
      <c r="Q32" s="21"/>
      <c r="S32" s="53"/>
      <c r="T32" s="16"/>
      <c r="V32" s="292"/>
      <c r="W32" s="292"/>
    </row>
    <row r="33" spans="1:23">
      <c r="A33" s="502" t="s">
        <v>351</v>
      </c>
      <c r="B33" s="19">
        <f>'Clés de répartition'!H125</f>
        <v>4.3868928459657397</v>
      </c>
      <c r="C33" s="19">
        <f>'Clés de répartition'!D125</f>
        <v>17.038795796799299</v>
      </c>
      <c r="D33" s="19">
        <f>'Privé - Achat&amp;Utilisation'!$C$9</f>
        <v>205.07379999999998</v>
      </c>
      <c r="E33">
        <f>'Privé - Contravention'!$D$8+'Caché - Accident'!$D$6</f>
        <v>199.67778886260805</v>
      </c>
      <c r="F33">
        <f>'Indirect - Prov. &amp; Féd.'!$D$8</f>
        <v>11.701898151934483</v>
      </c>
      <c r="G33">
        <f>'Indirect - Prov. &amp; Féd.'!$D$10</f>
        <v>6.4365502231669218</v>
      </c>
      <c r="H33">
        <f>'Indirect - Villes'!M45+'Indirect - Villes'!U45</f>
        <v>752.29052910943551</v>
      </c>
      <c r="I33">
        <f>'Caché - Accident'!$D$7</f>
        <v>32.097511581101905</v>
      </c>
      <c r="J33">
        <f>'Caché - Emprise spatiale'!N49</f>
        <v>632.42110615735032</v>
      </c>
      <c r="K33" s="54"/>
      <c r="L33" s="54"/>
      <c r="M33" s="54"/>
      <c r="N33" s="54"/>
      <c r="O33" s="20"/>
      <c r="P33" s="366"/>
      <c r="Q33" s="21"/>
      <c r="S33" s="53"/>
      <c r="T33" s="16"/>
      <c r="V33" s="292"/>
      <c r="W33" s="292"/>
    </row>
    <row r="34" spans="1:23">
      <c r="A34" s="502" t="s">
        <v>856</v>
      </c>
      <c r="B34" s="19">
        <f>'Clés de répartition'!H126</f>
        <v>8.2141800943403709</v>
      </c>
      <c r="C34" s="19">
        <f>'Clés de répartition'!D126</f>
        <v>31.4890904239038</v>
      </c>
      <c r="D34" s="19">
        <f>'Privé - Achat&amp;Utilisation'!$C$9</f>
        <v>205.07379999999998</v>
      </c>
      <c r="E34">
        <f>'Privé - Contravention'!$D$8+'Caché - Accident'!$D$6</f>
        <v>199.67778886260805</v>
      </c>
      <c r="F34">
        <f>'Indirect - Prov. &amp; Féd.'!$D$8</f>
        <v>11.701898151934483</v>
      </c>
      <c r="G34">
        <f>'Indirect - Prov. &amp; Féd.'!$D$10</f>
        <v>6.4365502231669218</v>
      </c>
      <c r="H34">
        <f>'Indirect - Villes'!M46+'Indirect - Villes'!U46</f>
        <v>759.88056033413977</v>
      </c>
      <c r="I34">
        <f>'Caché - Accident'!$D$7</f>
        <v>32.097511581101905</v>
      </c>
      <c r="J34">
        <f>'Caché - Emprise spatiale'!N50</f>
        <v>1500.7449985653789</v>
      </c>
      <c r="K34" s="54"/>
      <c r="L34" s="54"/>
      <c r="M34" s="54"/>
      <c r="N34" s="54"/>
      <c r="O34" s="20"/>
      <c r="P34" s="366"/>
      <c r="Q34" s="21"/>
      <c r="S34" s="53"/>
      <c r="T34" s="16"/>
      <c r="V34" s="292"/>
      <c r="W34" s="292"/>
    </row>
    <row r="35" spans="1:23">
      <c r="A35" s="502" t="s">
        <v>178</v>
      </c>
      <c r="B35" s="19">
        <f>'Clés de répartition'!H127</f>
        <v>3.94081575599647</v>
      </c>
      <c r="C35" s="19">
        <f>'Clés de répartition'!D127</f>
        <v>16.569234359931901</v>
      </c>
      <c r="D35" s="19">
        <f>'Privé - Achat&amp;Utilisation'!$C$9</f>
        <v>205.07379999999998</v>
      </c>
      <c r="E35">
        <f>'Privé - Contravention'!$D$8+'Caché - Accident'!$D$6</f>
        <v>199.67778886260805</v>
      </c>
      <c r="F35">
        <f>'Indirect - Prov. &amp; Féd.'!$D$8</f>
        <v>11.701898151934483</v>
      </c>
      <c r="G35">
        <f>'Indirect - Prov. &amp; Féd.'!$D$10</f>
        <v>6.4365502231669218</v>
      </c>
      <c r="H35">
        <f>'Indirect - Villes'!M47+'Indirect - Villes'!U47</f>
        <v>760.12954958370483</v>
      </c>
      <c r="I35">
        <f>'Caché - Accident'!$D$7</f>
        <v>32.097511581101905</v>
      </c>
      <c r="J35">
        <f>'Caché - Emprise spatiale'!N51</f>
        <v>1090.4458816699521</v>
      </c>
      <c r="K35" s="54"/>
      <c r="L35" s="54"/>
      <c r="M35" s="54"/>
      <c r="N35" s="54"/>
      <c r="O35" s="20"/>
      <c r="P35" s="366"/>
    </row>
    <row r="36" spans="1:23">
      <c r="A36" s="502" t="s">
        <v>179</v>
      </c>
      <c r="B36" s="19">
        <f>'Clés de répartition'!H128</f>
        <v>5.3678996298015704</v>
      </c>
      <c r="C36" s="19">
        <f>'Clés de répartition'!D128</f>
        <v>20.588503850777901</v>
      </c>
      <c r="D36" s="19">
        <f>'Privé - Achat&amp;Utilisation'!$C$9</f>
        <v>205.07379999999998</v>
      </c>
      <c r="E36">
        <f>'Privé - Contravention'!$D$8+'Caché - Accident'!$D$6</f>
        <v>199.67778886260805</v>
      </c>
      <c r="F36">
        <f>'Indirect - Prov. &amp; Féd.'!$D$8</f>
        <v>11.701898151934483</v>
      </c>
      <c r="G36">
        <f>'Indirect - Prov. &amp; Féd.'!$D$10</f>
        <v>6.4365502231669218</v>
      </c>
      <c r="H36">
        <f>'Indirect - Villes'!M48+'Indirect - Villes'!U48</f>
        <v>753.68009000139784</v>
      </c>
      <c r="I36">
        <f>'Caché - Accident'!$D$7</f>
        <v>32.097511581101905</v>
      </c>
      <c r="J36">
        <f>'Caché - Emprise spatiale'!N52</f>
        <v>329.48819979758582</v>
      </c>
      <c r="K36" s="54"/>
      <c r="L36" s="54"/>
      <c r="M36" s="54"/>
      <c r="N36" s="54"/>
      <c r="O36" s="20"/>
      <c r="P36" s="366"/>
      <c r="Q36" s="21"/>
      <c r="R36" s="21"/>
      <c r="S36" s="53"/>
      <c r="T36" s="16"/>
    </row>
    <row r="37" spans="1:23">
      <c r="J37" s="54"/>
    </row>
    <row r="38" spans="1:23">
      <c r="H38" s="54"/>
    </row>
  </sheetData>
  <conditionalFormatting sqref="O2:O17">
    <cfRule type="cellIs" dxfId="3" priority="2" operator="greaterThan">
      <formula>$R$8+$R$10</formula>
    </cfRule>
  </conditionalFormatting>
  <conditionalFormatting sqref="O18:O36">
    <cfRule type="cellIs" dxfId="2" priority="1" operator="greaterThan">
      <formula>$R$25+$R$27</formula>
    </cfRule>
  </conditionalFormatting>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EF0201-1071-7E41-B1C5-D3D84F5D7028}">
  <sheetPr codeName="Sheet33">
    <tabColor rgb="FF92D050"/>
  </sheetPr>
  <dimension ref="A1:T47"/>
  <sheetViews>
    <sheetView zoomScale="50" zoomScaleNormal="133" workbookViewId="0">
      <selection activeCell="B3" sqref="B3:L38"/>
    </sheetView>
  </sheetViews>
  <sheetFormatPr baseColWidth="10" defaultRowHeight="16"/>
  <cols>
    <col min="1" max="1" width="34" customWidth="1"/>
    <col min="2" max="2" width="18.5" customWidth="1"/>
    <col min="3" max="3" width="10.33203125" bestFit="1" customWidth="1"/>
    <col min="4" max="4" width="15.1640625" customWidth="1"/>
    <col min="5" max="5" width="14" customWidth="1"/>
    <col min="6" max="6" width="13" customWidth="1"/>
    <col min="7" max="7" width="14.1640625" customWidth="1"/>
    <col min="8" max="8" width="11.5" bestFit="1" customWidth="1"/>
    <col min="9" max="11" width="13.83203125" customWidth="1"/>
    <col min="12" max="12" width="15.5" customWidth="1"/>
    <col min="13" max="13" width="13.83203125" customWidth="1"/>
    <col min="14" max="14" width="46.6640625" customWidth="1"/>
    <col min="15" max="15" width="18.83203125" customWidth="1"/>
    <col min="16" max="16" width="13.5" customWidth="1"/>
  </cols>
  <sheetData>
    <row r="1" spans="1:20" s="114" customFormat="1" ht="17" customHeight="1">
      <c r="A1" s="594"/>
      <c r="B1" s="283"/>
      <c r="C1" s="283"/>
      <c r="D1" s="283"/>
      <c r="E1" s="283"/>
      <c r="F1" s="283"/>
      <c r="G1" s="283"/>
      <c r="H1" s="138"/>
      <c r="I1" s="138"/>
      <c r="J1" s="138"/>
      <c r="K1" s="138"/>
      <c r="L1" s="138"/>
      <c r="M1" s="138"/>
      <c r="N1" s="138"/>
      <c r="O1" s="138"/>
      <c r="P1" s="138"/>
      <c r="Q1" s="138"/>
    </row>
    <row r="2" spans="1:20" ht="47" customHeight="1" thickBot="1">
      <c r="A2" s="593" t="s">
        <v>12</v>
      </c>
      <c r="B2" s="283" t="s">
        <v>457</v>
      </c>
      <c r="C2" s="283" t="s">
        <v>458</v>
      </c>
      <c r="D2" s="283" t="s">
        <v>459</v>
      </c>
      <c r="E2" s="283" t="s">
        <v>460</v>
      </c>
      <c r="F2" s="283" t="s">
        <v>578</v>
      </c>
      <c r="G2" s="283" t="s">
        <v>462</v>
      </c>
      <c r="H2" s="138" t="s">
        <v>465</v>
      </c>
      <c r="I2" s="138" t="s">
        <v>464</v>
      </c>
      <c r="J2" s="138" t="s">
        <v>572</v>
      </c>
      <c r="K2" s="138" t="s">
        <v>570</v>
      </c>
      <c r="L2" s="138" t="s">
        <v>571</v>
      </c>
      <c r="M2" s="366"/>
      <c r="N2" s="21"/>
      <c r="O2" s="21"/>
      <c r="P2" s="53"/>
      <c r="Q2" s="16"/>
    </row>
    <row r="3" spans="1:20" ht="17">
      <c r="A3" s="298" t="s">
        <v>202</v>
      </c>
      <c r="B3" s="54">
        <v>205.07379999999998</v>
      </c>
      <c r="C3" s="54">
        <v>199.67778886260805</v>
      </c>
      <c r="D3" s="282">
        <v>2365.1523623886969</v>
      </c>
      <c r="E3" s="54">
        <v>786.06287538405513</v>
      </c>
      <c r="F3" s="54">
        <v>769.57224819061355</v>
      </c>
      <c r="G3" s="54">
        <v>-1893.2700931294048</v>
      </c>
      <c r="H3" s="54">
        <v>2769.903951251305</v>
      </c>
      <c r="I3" s="54">
        <v>-337.63496955473602</v>
      </c>
      <c r="J3" s="54">
        <v>-0.12189410733979036</v>
      </c>
      <c r="K3" s="54">
        <v>1.0615448101680744</v>
      </c>
      <c r="L3" s="54">
        <v>-0.12939605703662466</v>
      </c>
      <c r="M3" s="366"/>
      <c r="N3" s="21"/>
      <c r="P3" s="53"/>
      <c r="Q3" s="16"/>
      <c r="S3" s="292"/>
      <c r="T3" s="292"/>
    </row>
    <row r="4" spans="1:20">
      <c r="A4" s="19" t="e" vm="1">
        <v>#VALUE!</v>
      </c>
      <c r="B4" s="54">
        <v>205.07379999999998</v>
      </c>
      <c r="C4" s="54">
        <v>199.67778886260805</v>
      </c>
      <c r="D4" s="282">
        <v>1359.4352953136083</v>
      </c>
      <c r="E4" s="54">
        <v>2064.7757166696624</v>
      </c>
      <c r="F4" s="54">
        <v>741.78980006438974</v>
      </c>
      <c r="G4" s="54">
        <v>-1327.367142041787</v>
      </c>
      <c r="H4" s="54">
        <v>1764.1868841762164</v>
      </c>
      <c r="I4" s="54">
        <v>1479.1983746922649</v>
      </c>
      <c r="J4" s="54">
        <v>0.83845900225189218</v>
      </c>
      <c r="K4" s="54">
        <v>0.96436118615562327</v>
      </c>
      <c r="L4" s="54">
        <v>0.80857731795449517</v>
      </c>
      <c r="M4" s="366"/>
      <c r="N4" s="21"/>
      <c r="P4" s="53"/>
      <c r="Q4" s="16"/>
      <c r="S4" s="292"/>
      <c r="T4" s="292"/>
    </row>
    <row r="5" spans="1:20">
      <c r="A5" s="19" t="e" vm="2">
        <v>#VALUE!</v>
      </c>
      <c r="B5" s="54">
        <v>205.07379999999998</v>
      </c>
      <c r="C5" s="54">
        <v>199.67778886260805</v>
      </c>
      <c r="D5" s="282">
        <v>2144.5088306176035</v>
      </c>
      <c r="E5" s="54">
        <v>1658.5948237256216</v>
      </c>
      <c r="F5" s="54">
        <v>1849.6335392731307</v>
      </c>
      <c r="G5" s="54">
        <v>-2125.9138398744276</v>
      </c>
      <c r="H5" s="54">
        <v>2549.2604194802116</v>
      </c>
      <c r="I5" s="54">
        <v>1382.3145231243248</v>
      </c>
      <c r="J5" s="54">
        <v>0.54224139384166004</v>
      </c>
      <c r="K5" s="54">
        <v>0.87007109316226305</v>
      </c>
      <c r="L5" s="54">
        <v>0.47178856229764232</v>
      </c>
      <c r="M5" s="366"/>
      <c r="N5" s="21"/>
      <c r="O5" s="54"/>
      <c r="P5" s="53"/>
      <c r="Q5" s="16"/>
      <c r="S5" s="292"/>
      <c r="T5" s="292"/>
    </row>
    <row r="6" spans="1:20">
      <c r="A6" s="19" t="e" vm="3">
        <v>#VALUE!</v>
      </c>
      <c r="B6" s="54">
        <v>205.07379999999998</v>
      </c>
      <c r="C6" s="54">
        <v>199.67778886260805</v>
      </c>
      <c r="D6" s="282">
        <v>2339.6992934542614</v>
      </c>
      <c r="E6" s="54">
        <v>1271.6148018757719</v>
      </c>
      <c r="F6" s="54">
        <v>297.78421407438083</v>
      </c>
      <c r="G6" s="54">
        <v>-1937.8878253757318</v>
      </c>
      <c r="H6" s="54">
        <v>2744.4508823168694</v>
      </c>
      <c r="I6" s="54">
        <v>-368.48880942557912</v>
      </c>
      <c r="J6" s="54">
        <v>-0.13426686256250298</v>
      </c>
      <c r="K6" s="54">
        <v>1.0275738047370073</v>
      </c>
      <c r="L6" s="54">
        <v>-0.13796911081345203</v>
      </c>
      <c r="M6" s="366"/>
      <c r="N6" s="21"/>
      <c r="O6" s="54"/>
      <c r="P6" s="53"/>
      <c r="Q6" s="16"/>
      <c r="S6" s="292"/>
      <c r="T6" s="292"/>
    </row>
    <row r="7" spans="1:20">
      <c r="A7" s="19" t="e" vm="4">
        <v>#VALUE!</v>
      </c>
      <c r="B7" s="54">
        <v>205.07379999999998</v>
      </c>
      <c r="C7" s="54">
        <v>199.67778886260805</v>
      </c>
      <c r="D7" s="282">
        <v>4989.6569220430092</v>
      </c>
      <c r="E7" s="54">
        <v>1083.4302526643139</v>
      </c>
      <c r="F7" s="54">
        <v>3542.4974597632422</v>
      </c>
      <c r="G7" s="54">
        <v>-4560.316248782301</v>
      </c>
      <c r="H7" s="54">
        <v>5394.4085109056177</v>
      </c>
      <c r="I7" s="54">
        <v>65.611463645254844</v>
      </c>
      <c r="J7" s="54">
        <v>1.2162865217309977E-2</v>
      </c>
      <c r="K7" s="54">
        <v>0.85829200480825718</v>
      </c>
      <c r="L7" s="54">
        <v>1.0439289971577599E-2</v>
      </c>
      <c r="M7" s="366"/>
      <c r="N7" s="21"/>
      <c r="P7" s="53"/>
      <c r="Q7" s="16"/>
      <c r="S7" s="292"/>
      <c r="T7" s="292"/>
    </row>
    <row r="8" spans="1:20">
      <c r="A8" s="19" t="e" vm="5">
        <v>#VALUE!</v>
      </c>
      <c r="B8" s="54">
        <v>205.07379999999998</v>
      </c>
      <c r="C8" s="54">
        <v>199.67778886260805</v>
      </c>
      <c r="D8" s="282">
        <v>2932.5436745222219</v>
      </c>
      <c r="E8" s="54">
        <v>1245.9593395881357</v>
      </c>
      <c r="F8" s="54">
        <v>673.18093831166743</v>
      </c>
      <c r="G8" s="54">
        <v>-2662.966064001731</v>
      </c>
      <c r="H8" s="54">
        <v>3337.2952633848299</v>
      </c>
      <c r="I8" s="54">
        <v>-743.82578610192786</v>
      </c>
      <c r="J8" s="54">
        <v>-0.22288282198546239</v>
      </c>
      <c r="K8" s="54">
        <v>0.90931676116332849</v>
      </c>
      <c r="L8" s="54">
        <v>-0.20267108580676335</v>
      </c>
      <c r="M8" s="366"/>
      <c r="N8" s="21"/>
      <c r="O8" s="54"/>
      <c r="P8" s="53"/>
      <c r="Q8" s="16"/>
      <c r="S8" s="292"/>
      <c r="T8" s="292"/>
    </row>
    <row r="9" spans="1:20">
      <c r="A9" s="19" t="e" vm="6">
        <v>#VALUE!</v>
      </c>
      <c r="B9" s="54">
        <v>205.07379999999998</v>
      </c>
      <c r="C9" s="54">
        <v>199.67778886260805</v>
      </c>
      <c r="D9" s="282">
        <v>3420.6242449448414</v>
      </c>
      <c r="E9" s="54">
        <v>625.1173389984508</v>
      </c>
      <c r="F9" s="54">
        <v>1024.8801344787321</v>
      </c>
      <c r="G9" s="54">
        <v>-2772.4080389262431</v>
      </c>
      <c r="H9" s="54">
        <v>3825.3758338074495</v>
      </c>
      <c r="I9" s="54">
        <v>-1122.4105654490602</v>
      </c>
      <c r="J9" s="54">
        <v>-0.29341184087836658</v>
      </c>
      <c r="K9" s="54">
        <v>1.0011592326711509</v>
      </c>
      <c r="L9" s="54">
        <v>-0.29375197347041532</v>
      </c>
      <c r="M9" s="366"/>
      <c r="N9" s="21"/>
      <c r="P9" s="53"/>
      <c r="Q9" s="16"/>
      <c r="S9" s="292"/>
      <c r="T9" s="292"/>
    </row>
    <row r="10" spans="1:20">
      <c r="A10" s="19" t="e" vm="7">
        <v>#VALUE!</v>
      </c>
      <c r="B10" s="54">
        <v>205.07379999999998</v>
      </c>
      <c r="C10" s="54">
        <v>199.67778886260805</v>
      </c>
      <c r="D10" s="282">
        <v>501.66666666666669</v>
      </c>
      <c r="E10" s="54">
        <v>2717.7239960501252</v>
      </c>
      <c r="F10" s="54">
        <v>162.31828837234053</v>
      </c>
      <c r="G10" s="54">
        <v>-362.79074599320001</v>
      </c>
      <c r="H10" s="54">
        <v>906.4182555292748</v>
      </c>
      <c r="I10" s="54">
        <v>2517.251538429266</v>
      </c>
      <c r="J10" s="54">
        <v>2.7771412624069396</v>
      </c>
      <c r="K10" s="54">
        <v>1.8128365110585496</v>
      </c>
      <c r="L10" s="54">
        <v>5.0345030768585319</v>
      </c>
      <c r="M10" s="366"/>
      <c r="N10" s="21"/>
      <c r="O10" s="53"/>
      <c r="P10" s="53"/>
      <c r="Q10" s="16"/>
      <c r="S10" s="292"/>
      <c r="T10" s="292"/>
    </row>
    <row r="11" spans="1:20">
      <c r="A11" s="19" t="e" vm="8">
        <v>#VALUE!</v>
      </c>
      <c r="B11" s="54">
        <v>205.07379999999998</v>
      </c>
      <c r="C11" s="54">
        <v>199.67778886260805</v>
      </c>
      <c r="D11" s="282">
        <v>2354.7735436172989</v>
      </c>
      <c r="E11" s="54">
        <v>778.37541400825899</v>
      </c>
      <c r="F11" s="54">
        <v>747.42186189013353</v>
      </c>
      <c r="G11" s="54">
        <v>-1878.8605605664743</v>
      </c>
      <c r="H11" s="54">
        <v>2759.5251324799069</v>
      </c>
      <c r="I11" s="54">
        <v>-353.06328466808191</v>
      </c>
      <c r="J11" s="54">
        <v>-0.12794349307150318</v>
      </c>
      <c r="K11" s="54">
        <v>1.0656779991140268</v>
      </c>
      <c r="L11" s="54">
        <v>-0.13634656569609888</v>
      </c>
      <c r="M11" s="366"/>
      <c r="N11" s="21"/>
      <c r="P11" s="53"/>
      <c r="Q11" s="16"/>
      <c r="S11" s="292"/>
      <c r="T11" s="292"/>
    </row>
    <row r="12" spans="1:20">
      <c r="A12" s="19" t="e" vm="9">
        <v>#VALUE!</v>
      </c>
      <c r="B12" s="54">
        <v>205.07379999999998</v>
      </c>
      <c r="C12" s="54">
        <v>199.67778886260805</v>
      </c>
      <c r="D12" s="282">
        <v>3783.7645119031449</v>
      </c>
      <c r="E12" s="54">
        <v>1701.8378781055637</v>
      </c>
      <c r="F12" s="54">
        <v>1321.334955189712</v>
      </c>
      <c r="G12" s="54">
        <v>-3363.5603933943084</v>
      </c>
      <c r="H12" s="54">
        <v>4188.5161007657534</v>
      </c>
      <c r="I12" s="54">
        <v>-340.38756009903273</v>
      </c>
      <c r="J12" s="54">
        <v>-8.1266862036605839E-2</v>
      </c>
      <c r="K12" s="54">
        <v>0.90353952543001081</v>
      </c>
      <c r="L12" s="54">
        <v>-7.3427821957741002E-2</v>
      </c>
      <c r="M12" s="366"/>
      <c r="N12" s="21"/>
      <c r="P12" s="53"/>
      <c r="Q12" s="16"/>
      <c r="S12" s="292"/>
      <c r="T12" s="292"/>
    </row>
    <row r="13" spans="1:20">
      <c r="A13" s="19" t="e" vm="10">
        <v>#VALUE!</v>
      </c>
      <c r="B13" s="54">
        <v>205.07379999999998</v>
      </c>
      <c r="C13" s="54">
        <v>199.67778886260805</v>
      </c>
      <c r="D13" s="282">
        <v>3255.2164193302838</v>
      </c>
      <c r="E13" s="54">
        <v>857.13779835480477</v>
      </c>
      <c r="F13" s="54">
        <v>768.03935655239718</v>
      </c>
      <c r="G13" s="54">
        <v>-2965.0481808230775</v>
      </c>
      <c r="H13" s="54">
        <v>3659.9680081928918</v>
      </c>
      <c r="I13" s="54">
        <v>-1339.8710259158756</v>
      </c>
      <c r="J13" s="54">
        <v>-0.36608817970991953</v>
      </c>
      <c r="K13" s="54">
        <v>0.89563638971624171</v>
      </c>
      <c r="L13" s="54">
        <v>-0.32788189559318304</v>
      </c>
      <c r="M13" s="366"/>
      <c r="N13" s="21"/>
      <c r="P13" s="53"/>
      <c r="Q13" s="16"/>
      <c r="S13" s="292"/>
      <c r="T13" s="292"/>
    </row>
    <row r="14" spans="1:20">
      <c r="A14" s="19" t="e" vm="11">
        <v>#VALUE!</v>
      </c>
      <c r="B14" s="54">
        <v>205.07379999999998</v>
      </c>
      <c r="C14" s="54">
        <v>199.67778886260805</v>
      </c>
      <c r="D14" s="282">
        <v>3071.2145759935738</v>
      </c>
      <c r="E14" s="54">
        <v>722.31185074178984</v>
      </c>
      <c r="F14" s="54">
        <v>1060.2371948344471</v>
      </c>
      <c r="G14" s="54">
        <v>-2346.5398620723945</v>
      </c>
      <c r="H14" s="54">
        <v>3475.9661648561819</v>
      </c>
      <c r="I14" s="54">
        <v>-563.99081649615755</v>
      </c>
      <c r="J14" s="54">
        <v>-0.16225440345144806</v>
      </c>
      <c r="K14" s="54">
        <v>1.0748152020580433</v>
      </c>
      <c r="L14" s="54">
        <v>-0.17439349943047541</v>
      </c>
      <c r="M14" s="366"/>
      <c r="N14" s="21"/>
      <c r="P14" s="53"/>
      <c r="Q14" s="16"/>
      <c r="S14" s="292"/>
      <c r="T14" s="292"/>
    </row>
    <row r="15" spans="1:20">
      <c r="A15" s="19" t="e" vm="12">
        <v>#VALUE!</v>
      </c>
      <c r="B15" s="54">
        <v>205.07379999999998</v>
      </c>
      <c r="C15" s="54">
        <v>199.67778886260805</v>
      </c>
      <c r="D15" s="282">
        <v>2290.8825310994935</v>
      </c>
      <c r="E15" s="54">
        <v>600.01303414755535</v>
      </c>
      <c r="F15" s="54">
        <v>1428.6422243206091</v>
      </c>
      <c r="G15" s="54">
        <v>-2229.4071819339492</v>
      </c>
      <c r="H15" s="54">
        <v>2695.6341199621015</v>
      </c>
      <c r="I15" s="54">
        <v>-200.75192346578478</v>
      </c>
      <c r="J15" s="54">
        <v>-7.4472986515175588E-2</v>
      </c>
      <c r="K15" s="54">
        <v>0.87731942485035719</v>
      </c>
      <c r="L15" s="54">
        <v>-6.5336597696382254E-2</v>
      </c>
      <c r="M15" s="366"/>
      <c r="N15" s="21"/>
      <c r="P15" s="53"/>
      <c r="Q15" s="16"/>
      <c r="S15" s="292"/>
      <c r="T15" s="292"/>
    </row>
    <row r="16" spans="1:20">
      <c r="A16" s="19" t="e" vm="13">
        <v>#VALUE!</v>
      </c>
      <c r="B16" s="54">
        <v>205.07379999999998</v>
      </c>
      <c r="C16" s="54">
        <v>199.67778886260805</v>
      </c>
      <c r="D16" s="282">
        <v>1038.3333333333335</v>
      </c>
      <c r="E16" s="54">
        <v>3469.4356569550796</v>
      </c>
      <c r="F16" s="54">
        <v>2863.5041184036845</v>
      </c>
      <c r="G16" s="54">
        <v>-943.25593958232002</v>
      </c>
      <c r="H16" s="54">
        <v>1443.0849221959415</v>
      </c>
      <c r="I16" s="54">
        <v>5389.6838357764436</v>
      </c>
      <c r="J16" s="54">
        <v>3.7348348339576334</v>
      </c>
      <c r="K16" s="54">
        <v>1.110065324766109</v>
      </c>
      <c r="L16" s="54">
        <v>4.1459106429049566</v>
      </c>
      <c r="M16" s="366"/>
      <c r="N16" s="21"/>
      <c r="P16" s="53"/>
      <c r="Q16" s="16"/>
      <c r="S16" s="292"/>
      <c r="T16" s="292"/>
    </row>
    <row r="17" spans="1:20">
      <c r="A17" s="19" t="e" vm="14">
        <v>#VALUE!</v>
      </c>
      <c r="B17" s="54">
        <v>205.07379999999998</v>
      </c>
      <c r="C17" s="54">
        <v>199.67778886260805</v>
      </c>
      <c r="D17" s="282">
        <v>6178.9052744886958</v>
      </c>
      <c r="E17" s="54">
        <v>493.80318141539516</v>
      </c>
      <c r="F17" s="54">
        <v>33.896384834622836</v>
      </c>
      <c r="G17" s="54">
        <v>-5595.0533899391403</v>
      </c>
      <c r="H17" s="54">
        <v>6583.6568633513034</v>
      </c>
      <c r="I17" s="54">
        <v>-5067.3538236891218</v>
      </c>
      <c r="J17" s="54">
        <v>-0.76968680611183427</v>
      </c>
      <c r="K17" s="54">
        <v>0.85378623521748065</v>
      </c>
      <c r="L17" s="54">
        <v>-0.65714800048679001</v>
      </c>
      <c r="M17" s="366"/>
      <c r="N17" s="21"/>
      <c r="P17" s="53"/>
      <c r="Q17" s="16"/>
      <c r="S17" s="292"/>
      <c r="T17" s="292"/>
    </row>
    <row r="18" spans="1:20">
      <c r="A18" s="19" t="e" vm="15">
        <v>#VALUE!</v>
      </c>
      <c r="B18" s="54">
        <v>205.07379999999998</v>
      </c>
      <c r="C18" s="54">
        <v>199.67778886260805</v>
      </c>
      <c r="D18" s="282">
        <v>1720.0842140477334</v>
      </c>
      <c r="E18" s="54">
        <v>842.81957371375006</v>
      </c>
      <c r="F18" s="54">
        <v>1952.4803744602414</v>
      </c>
      <c r="G18" s="54">
        <v>-1269.31657463584</v>
      </c>
      <c r="H18" s="54">
        <v>2124.8358029103415</v>
      </c>
      <c r="I18" s="54">
        <v>1525.9833735381517</v>
      </c>
      <c r="J18" s="54">
        <v>0.7181653149142373</v>
      </c>
      <c r="K18" s="54">
        <v>1.2146233358247316</v>
      </c>
      <c r="L18" s="54">
        <v>0.87230035047474985</v>
      </c>
      <c r="M18" s="21"/>
      <c r="N18" s="21"/>
      <c r="P18" s="53"/>
      <c r="Q18" s="16"/>
      <c r="S18" s="292"/>
      <c r="T18" s="292"/>
    </row>
    <row r="19" spans="1:20">
      <c r="A19" s="107" t="s">
        <v>585</v>
      </c>
      <c r="B19" s="326"/>
      <c r="C19" s="326"/>
      <c r="D19" s="325"/>
      <c r="E19" s="326"/>
      <c r="F19" s="326"/>
      <c r="G19" s="326"/>
      <c r="H19" s="326"/>
      <c r="I19" s="326"/>
      <c r="J19" s="326"/>
      <c r="K19" s="326"/>
      <c r="L19" s="326"/>
      <c r="M19" s="366"/>
      <c r="N19" s="21"/>
      <c r="P19" s="53"/>
      <c r="Q19" s="16"/>
      <c r="S19" s="292"/>
      <c r="T19" s="292"/>
    </row>
    <row r="20" spans="1:20" ht="17">
      <c r="A20" s="66" t="e" vm="16">
        <v>#VALUE!</v>
      </c>
      <c r="B20" s="54">
        <v>205.07379999999998</v>
      </c>
      <c r="C20" s="54">
        <v>199.67778886260805</v>
      </c>
      <c r="D20" s="282">
        <v>2924.3200342484802</v>
      </c>
      <c r="E20" s="54">
        <v>779.82995282295474</v>
      </c>
      <c r="F20" s="54">
        <v>781.63553773200056</v>
      </c>
      <c r="G20" s="54">
        <v>-2411.4967526803694</v>
      </c>
      <c r="H20" s="54">
        <v>3329.0716231110882</v>
      </c>
      <c r="I20" s="54">
        <v>-850.03126212541406</v>
      </c>
      <c r="J20" s="54">
        <v>-0.25533582883117478</v>
      </c>
      <c r="K20" s="54">
        <v>1.0016653568128162</v>
      </c>
      <c r="L20" s="20">
        <v>-0.25576105409327488</v>
      </c>
      <c r="M20" s="366"/>
      <c r="N20" s="21"/>
      <c r="P20" s="53"/>
      <c r="Q20" s="16"/>
      <c r="S20" s="292"/>
      <c r="T20" s="292"/>
    </row>
    <row r="21" spans="1:20" ht="17">
      <c r="A21" s="66" t="e" vm="17">
        <v>#VALUE!</v>
      </c>
      <c r="B21" s="54">
        <v>205.07379999999998</v>
      </c>
      <c r="C21" s="54">
        <v>199.67778886260805</v>
      </c>
      <c r="D21" s="282">
        <v>4045.61063872861</v>
      </c>
      <c r="E21" s="54">
        <v>801.822011869677</v>
      </c>
      <c r="F21" s="54">
        <v>435.88685330394406</v>
      </c>
      <c r="G21" s="54">
        <v>-3355.9392600925698</v>
      </c>
      <c r="H21" s="54">
        <v>4450.3622275912185</v>
      </c>
      <c r="I21" s="54">
        <v>-2118.2303949189491</v>
      </c>
      <c r="J21" s="54">
        <v>-0.47596808677424268</v>
      </c>
      <c r="K21" s="54">
        <v>0.96220468092932165</v>
      </c>
      <c r="L21" s="20">
        <v>-0.45797872106714987</v>
      </c>
      <c r="M21" s="366"/>
      <c r="N21" s="21"/>
      <c r="P21" s="53"/>
      <c r="Q21" s="16"/>
      <c r="S21" s="292"/>
      <c r="T21" s="292"/>
    </row>
    <row r="22" spans="1:20">
      <c r="A22" s="87" t="e" vm="18">
        <v>#VALUE!</v>
      </c>
      <c r="B22" s="54">
        <v>205.07379999999998</v>
      </c>
      <c r="C22" s="54">
        <v>199.67778886260805</v>
      </c>
      <c r="D22" s="282">
        <v>2557.8150574706101</v>
      </c>
      <c r="E22" s="54">
        <v>779.23828671979197</v>
      </c>
      <c r="F22" s="54">
        <v>384.40921736538758</v>
      </c>
      <c r="G22" s="54">
        <v>-2041.6500041553102</v>
      </c>
      <c r="H22" s="54">
        <v>2962.5666463332182</v>
      </c>
      <c r="I22" s="54">
        <v>-878.00250007013051</v>
      </c>
      <c r="J22" s="54">
        <v>-0.29636548469106616</v>
      </c>
      <c r="K22" s="54">
        <v>1.0528658305687153</v>
      </c>
      <c r="L22" s="20">
        <v>-0.31203309219115921</v>
      </c>
      <c r="M22" s="366"/>
      <c r="N22" s="21"/>
      <c r="P22" s="53"/>
      <c r="Q22" s="16"/>
      <c r="S22" s="292"/>
      <c r="T22" s="292"/>
    </row>
    <row r="23" spans="1:20">
      <c r="A23" s="63" t="e" vm="19">
        <v>#VALUE!</v>
      </c>
      <c r="B23" s="54">
        <v>205.07379999999998</v>
      </c>
      <c r="C23" s="54">
        <v>199.67778886260805</v>
      </c>
      <c r="D23" s="282">
        <v>3258.678270545227</v>
      </c>
      <c r="E23" s="54">
        <v>1095.9854564180127</v>
      </c>
      <c r="F23" s="54">
        <v>626.94450677745783</v>
      </c>
      <c r="G23" s="54">
        <v>-3098.0016388531517</v>
      </c>
      <c r="H23" s="54">
        <v>3663.429859407835</v>
      </c>
      <c r="I23" s="54">
        <v>-1375.0716756576812</v>
      </c>
      <c r="J23" s="54">
        <v>-0.37535089477049544</v>
      </c>
      <c r="K23" s="54">
        <v>0.85801016688960585</v>
      </c>
      <c r="L23" s="20">
        <v>-0.32205488386419567</v>
      </c>
      <c r="M23" s="366"/>
      <c r="N23" s="21"/>
      <c r="P23" s="53"/>
      <c r="Q23" s="16"/>
      <c r="S23" s="292"/>
      <c r="T23" s="292"/>
    </row>
    <row r="24" spans="1:20">
      <c r="A24" s="63" t="e" vm="20">
        <v>#VALUE!</v>
      </c>
      <c r="B24" s="54">
        <v>205.07379999999998</v>
      </c>
      <c r="C24" s="54">
        <v>199.67778886260805</v>
      </c>
      <c r="D24" s="282">
        <v>3382.5828551614636</v>
      </c>
      <c r="E24" s="54">
        <v>793.20608498908882</v>
      </c>
      <c r="F24" s="54">
        <v>1103.4430451051132</v>
      </c>
      <c r="G24" s="54">
        <v>-2845.3332107749757</v>
      </c>
      <c r="H24" s="54">
        <v>3787.3344440240717</v>
      </c>
      <c r="I24" s="54">
        <v>-948.6840806807736</v>
      </c>
      <c r="J24" s="54">
        <v>-0.25048859420843478</v>
      </c>
      <c r="K24" s="54">
        <v>0.96579893213912826</v>
      </c>
      <c r="L24" s="20">
        <v>-0.24192161679953772</v>
      </c>
      <c r="M24" s="366"/>
      <c r="N24" s="21"/>
      <c r="O24" s="54"/>
      <c r="P24" s="53"/>
      <c r="Q24" s="16"/>
      <c r="S24" s="292"/>
      <c r="T24" s="292"/>
    </row>
    <row r="25" spans="1:20" ht="17">
      <c r="A25" s="66" t="e" vm="21">
        <v>#VALUE!</v>
      </c>
      <c r="B25" s="54">
        <v>205.07379999999998</v>
      </c>
      <c r="C25" s="54">
        <v>199.67778886260805</v>
      </c>
      <c r="D25" s="282">
        <v>3000.2807695518932</v>
      </c>
      <c r="E25" s="54">
        <v>781.21797018749885</v>
      </c>
      <c r="F25" s="54">
        <v>1042.1602405389851</v>
      </c>
      <c r="G25" s="54">
        <v>-2810.0328693214001</v>
      </c>
      <c r="H25" s="54">
        <v>3405.0323584145012</v>
      </c>
      <c r="I25" s="54">
        <v>-986.6546585949161</v>
      </c>
      <c r="J25" s="54">
        <v>-0.28976366587433433</v>
      </c>
      <c r="K25" s="54">
        <v>0.8792169251304881</v>
      </c>
      <c r="L25" s="20">
        <v>-0.25476511932457035</v>
      </c>
      <c r="M25" s="366"/>
      <c r="N25" s="21"/>
      <c r="P25" s="53"/>
      <c r="Q25" s="16"/>
      <c r="S25" s="292"/>
      <c r="T25" s="292"/>
    </row>
    <row r="26" spans="1:20">
      <c r="A26" s="63" t="e" vm="22">
        <v>#VALUE!</v>
      </c>
      <c r="B26" s="54">
        <v>205.07379999999998</v>
      </c>
      <c r="C26" s="54">
        <v>199.67778886260805</v>
      </c>
      <c r="D26" s="282">
        <v>2557.7294980611964</v>
      </c>
      <c r="E26" s="54">
        <v>777.8456631005331</v>
      </c>
      <c r="F26" s="54">
        <v>452.98625234378568</v>
      </c>
      <c r="G26" s="54">
        <v>-1989.040986616521</v>
      </c>
      <c r="H26" s="54">
        <v>2962.4810869238045</v>
      </c>
      <c r="I26" s="54">
        <v>-758.20907117220213</v>
      </c>
      <c r="J26" s="54">
        <v>-0.25593718539466354</v>
      </c>
      <c r="K26" s="54">
        <v>1.0806823295723695</v>
      </c>
      <c r="L26" s="20">
        <v>-0.27658679373650041</v>
      </c>
      <c r="M26" s="366"/>
      <c r="N26" s="21"/>
      <c r="O26" s="54"/>
      <c r="P26" s="53"/>
      <c r="Q26" s="16"/>
      <c r="S26" s="292"/>
      <c r="T26" s="292"/>
    </row>
    <row r="27" spans="1:20">
      <c r="A27" s="63" t="e" vm="23">
        <v>#VALUE!</v>
      </c>
      <c r="B27" s="54">
        <v>205.07379999999998</v>
      </c>
      <c r="C27" s="54">
        <v>199.67778886260805</v>
      </c>
      <c r="D27" s="282">
        <v>4307.7749234958901</v>
      </c>
      <c r="E27" s="54">
        <v>809.80413879681305</v>
      </c>
      <c r="F27" s="54">
        <v>784.59539825388811</v>
      </c>
      <c r="G27" s="54">
        <v>-3499.4431335334916</v>
      </c>
      <c r="H27" s="54">
        <v>4712.5265123584977</v>
      </c>
      <c r="I27" s="54">
        <v>-1905.0435964827905</v>
      </c>
      <c r="J27" s="54">
        <v>-0.40425100877137887</v>
      </c>
      <c r="K27" s="54">
        <v>0.97710460990116277</v>
      </c>
      <c r="L27" s="20">
        <v>-0.39499552422770967</v>
      </c>
      <c r="M27" s="366"/>
      <c r="N27" s="21"/>
      <c r="P27" s="53"/>
      <c r="Q27" s="16"/>
      <c r="S27" s="292"/>
      <c r="T27" s="292"/>
    </row>
    <row r="28" spans="1:20">
      <c r="A28" s="63" t="e" vm="24">
        <v>#VALUE!</v>
      </c>
      <c r="B28" s="54">
        <v>205.07379999999998</v>
      </c>
      <c r="C28" s="54">
        <v>199.67778886260805</v>
      </c>
      <c r="D28" s="282">
        <v>2091.8556279945101</v>
      </c>
      <c r="E28" s="54">
        <v>772.25874711355141</v>
      </c>
      <c r="F28" s="54">
        <v>844.27052324009628</v>
      </c>
      <c r="G28" s="54">
        <v>-1686.3119660482444</v>
      </c>
      <c r="H28" s="54">
        <v>2496.6072168571181</v>
      </c>
      <c r="I28" s="54">
        <v>-69.782695694596669</v>
      </c>
      <c r="J28" s="54">
        <v>-2.7951010965370594E-2</v>
      </c>
      <c r="K28" s="54">
        <v>1.0742330160630407</v>
      </c>
      <c r="L28" s="20">
        <v>-3.0025898811341174E-2</v>
      </c>
      <c r="M28" s="366"/>
      <c r="O28" s="53"/>
      <c r="P28" s="53"/>
      <c r="Q28" s="16"/>
      <c r="S28" s="292"/>
      <c r="T28" s="292"/>
    </row>
    <row r="29" spans="1:20">
      <c r="A29" s="63" t="e" vm="25">
        <v>#VALUE!</v>
      </c>
      <c r="B29" s="54">
        <v>205.07379999999998</v>
      </c>
      <c r="C29" s="54">
        <v>199.67778886260805</v>
      </c>
      <c r="D29" s="282">
        <v>1446.8922273024214</v>
      </c>
      <c r="E29" s="54">
        <v>899.74513727574742</v>
      </c>
      <c r="F29" s="54">
        <v>1682.53029821984</v>
      </c>
      <c r="G29" s="54">
        <v>-1296.141621445855</v>
      </c>
      <c r="H29" s="54">
        <v>1851.6438161650294</v>
      </c>
      <c r="I29" s="54">
        <v>1286.1338140497323</v>
      </c>
      <c r="J29" s="54">
        <v>0.69459028935352463</v>
      </c>
      <c r="K29" s="54">
        <v>1.0365522258761426</v>
      </c>
      <c r="L29" s="20">
        <v>0.71997911050134988</v>
      </c>
      <c r="M29" s="366"/>
      <c r="N29" s="21"/>
      <c r="P29" s="53"/>
      <c r="Q29" s="16"/>
      <c r="S29" s="292"/>
      <c r="T29" s="292"/>
    </row>
    <row r="30" spans="1:20">
      <c r="A30" s="63" t="e" vm="26">
        <v>#VALUE!</v>
      </c>
      <c r="B30" s="54">
        <v>205.07379999999998</v>
      </c>
      <c r="C30" s="54">
        <v>199.67778886260805</v>
      </c>
      <c r="D30" s="282">
        <v>1921.4737502890998</v>
      </c>
      <c r="E30" s="54">
        <v>773.65476829031138</v>
      </c>
      <c r="F30" s="54">
        <v>805.58906524913641</v>
      </c>
      <c r="G30" s="54">
        <v>-1481.7056157964957</v>
      </c>
      <c r="H30" s="54">
        <v>2326.2253391517079</v>
      </c>
      <c r="I30" s="54">
        <v>97.538217742951929</v>
      </c>
      <c r="J30" s="54">
        <v>4.1929823435987792E-2</v>
      </c>
      <c r="K30" s="54">
        <v>1.1391372444592831</v>
      </c>
      <c r="L30" s="20">
        <v>4.7763823529535405E-2</v>
      </c>
      <c r="M30" s="366"/>
      <c r="N30" s="21"/>
      <c r="P30" s="53"/>
      <c r="Q30" s="16"/>
      <c r="S30" s="292"/>
      <c r="T30" s="292"/>
    </row>
    <row r="31" spans="1:20">
      <c r="A31" s="63" t="e" vm="27">
        <v>#VALUE!</v>
      </c>
      <c r="B31" s="54">
        <v>205.07379999999998</v>
      </c>
      <c r="C31" s="54">
        <v>199.67778886260805</v>
      </c>
      <c r="D31" s="282">
        <v>4081.2714840830913</v>
      </c>
      <c r="E31" s="54">
        <v>956.03831886994283</v>
      </c>
      <c r="F31" s="54">
        <v>2793.0470547516356</v>
      </c>
      <c r="G31" s="54">
        <v>-3660.1064263806848</v>
      </c>
      <c r="H31" s="54">
        <v>4486.0230729456998</v>
      </c>
      <c r="I31" s="54">
        <v>88.978947240893831</v>
      </c>
      <c r="J31" s="54">
        <v>1.9834705661125086E-2</v>
      </c>
      <c r="K31" s="54">
        <v>0.88931165795964451</v>
      </c>
      <c r="L31" s="20">
        <v>1.7639234976636699E-2</v>
      </c>
      <c r="M31" s="366"/>
      <c r="N31" s="21"/>
      <c r="P31" s="53"/>
      <c r="Q31" s="16"/>
      <c r="S31" s="292"/>
      <c r="T31" s="292"/>
    </row>
    <row r="32" spans="1:20">
      <c r="A32" s="63" t="e" vm="28">
        <v>#VALUE!</v>
      </c>
      <c r="B32" s="54">
        <v>205.07379999999998</v>
      </c>
      <c r="C32" s="54">
        <v>199.67778886260805</v>
      </c>
      <c r="D32" s="282">
        <v>2331.5202754029901</v>
      </c>
      <c r="E32" s="54">
        <v>777.62225343803811</v>
      </c>
      <c r="F32" s="54">
        <v>705.66031005689013</v>
      </c>
      <c r="G32" s="54">
        <v>-1886.3267408681254</v>
      </c>
      <c r="H32" s="54">
        <v>2736.2718642655982</v>
      </c>
      <c r="I32" s="54">
        <v>-403.04417737319727</v>
      </c>
      <c r="J32" s="54">
        <v>-0.14729683210091857</v>
      </c>
      <c r="K32" s="54">
        <v>1.0525155471424457</v>
      </c>
      <c r="L32" s="20">
        <v>-0.15503220583104727</v>
      </c>
      <c r="M32" s="366"/>
      <c r="N32" s="21"/>
      <c r="P32" s="53"/>
      <c r="Q32" s="16"/>
      <c r="S32" s="292"/>
      <c r="T32" s="292"/>
    </row>
    <row r="33" spans="1:20">
      <c r="A33" s="63" t="e" vm="29">
        <v>#VALUE!</v>
      </c>
      <c r="B33" s="54">
        <v>205.07379999999998</v>
      </c>
      <c r="C33" s="54">
        <v>199.67778886260805</v>
      </c>
      <c r="D33" s="282">
        <v>2039.2098567901198</v>
      </c>
      <c r="E33" s="54">
        <v>776.73811709901167</v>
      </c>
      <c r="F33" s="54">
        <v>467.27199847394786</v>
      </c>
      <c r="G33" s="54">
        <v>-1645.5461581824009</v>
      </c>
      <c r="H33" s="54">
        <v>2443.9614456527279</v>
      </c>
      <c r="I33" s="54">
        <v>-401.53604260944144</v>
      </c>
      <c r="J33" s="54">
        <v>-0.16429720825739133</v>
      </c>
      <c r="K33" s="54">
        <v>1.0776319966938201</v>
      </c>
      <c r="L33" s="20">
        <v>-0.17705192858563304</v>
      </c>
      <c r="M33" s="366"/>
      <c r="N33" s="21"/>
      <c r="P33" s="53"/>
      <c r="Q33" s="16"/>
      <c r="S33" s="292"/>
      <c r="T33" s="292"/>
    </row>
    <row r="34" spans="1:20">
      <c r="A34" s="63" t="e" vm="30">
        <v>#VALUE!</v>
      </c>
      <c r="B34" s="54">
        <v>205.07379999999998</v>
      </c>
      <c r="C34" s="54">
        <v>199.67778886260805</v>
      </c>
      <c r="D34" s="282">
        <v>2419.0194215748397</v>
      </c>
      <c r="E34" s="54">
        <v>836.19006899737064</v>
      </c>
      <c r="F34" s="54">
        <v>1745.7703897956451</v>
      </c>
      <c r="G34" s="54">
        <v>-1923.5557257156165</v>
      </c>
      <c r="H34" s="54">
        <v>2823.7710104374478</v>
      </c>
      <c r="I34" s="54">
        <v>658.40473307739921</v>
      </c>
      <c r="J34" s="54">
        <v>0.23316505858433673</v>
      </c>
      <c r="K34" s="54">
        <v>1.0651503127204223</v>
      </c>
      <c r="L34" s="20">
        <v>0.24835583506658185</v>
      </c>
      <c r="M34" s="366"/>
      <c r="N34" s="21"/>
      <c r="P34" s="53"/>
      <c r="Q34" s="16"/>
      <c r="S34" s="292"/>
      <c r="T34" s="292"/>
    </row>
    <row r="35" spans="1:20">
      <c r="A35" s="63" t="e" vm="31">
        <v>#VALUE!</v>
      </c>
      <c r="B35" s="54">
        <v>205.07379999999998</v>
      </c>
      <c r="C35" s="54">
        <v>199.67778886260805</v>
      </c>
      <c r="D35" s="282">
        <v>1987.8595096265849</v>
      </c>
      <c r="E35" s="54">
        <v>770.42897748453697</v>
      </c>
      <c r="F35" s="54">
        <v>664.51861773845224</v>
      </c>
      <c r="G35" s="54">
        <v>-1591.5241281801432</v>
      </c>
      <c r="H35" s="54">
        <v>2392.611098489193</v>
      </c>
      <c r="I35" s="54">
        <v>-156.57653295715409</v>
      </c>
      <c r="J35" s="54">
        <v>-6.5441698007680335E-2</v>
      </c>
      <c r="K35" s="54">
        <v>1.0907998816016116</v>
      </c>
      <c r="L35" s="20">
        <v>-7.1383796438586139E-2</v>
      </c>
      <c r="M35" s="366"/>
      <c r="N35" s="21"/>
      <c r="P35" s="53"/>
      <c r="Q35" s="16"/>
      <c r="S35" s="292"/>
      <c r="T35" s="292"/>
    </row>
    <row r="36" spans="1:20">
      <c r="A36" s="63" t="e" vm="32">
        <v>#VALUE!</v>
      </c>
      <c r="B36" s="54">
        <v>205.07379999999998</v>
      </c>
      <c r="C36" s="54">
        <v>199.67778886260805</v>
      </c>
      <c r="D36" s="282">
        <v>3673.7272161221099</v>
      </c>
      <c r="E36" s="54">
        <v>778.01900870924123</v>
      </c>
      <c r="F36" s="54">
        <v>1532.8425101464807</v>
      </c>
      <c r="G36" s="54">
        <v>-2980.0285241482375</v>
      </c>
      <c r="H36" s="54">
        <v>4078.478804984718</v>
      </c>
      <c r="I36" s="54">
        <v>-669.16700529251557</v>
      </c>
      <c r="J36" s="54">
        <v>-0.164072694082573</v>
      </c>
      <c r="K36" s="54">
        <v>0.9930336949380546</v>
      </c>
      <c r="L36" s="20">
        <v>-0.16292971364325856</v>
      </c>
      <c r="M36" s="366"/>
    </row>
    <row r="37" spans="1:20">
      <c r="A37" s="63" t="e" vm="33">
        <v>#VALUE!</v>
      </c>
      <c r="B37" s="54">
        <v>205.07379999999998</v>
      </c>
      <c r="C37" s="54">
        <v>199.67778886260805</v>
      </c>
      <c r="D37" s="282">
        <v>1933.0773419920552</v>
      </c>
      <c r="E37" s="54">
        <v>778.26799795880629</v>
      </c>
      <c r="F37" s="54">
        <v>1122.5433932510539</v>
      </c>
      <c r="G37" s="54">
        <v>-1429.6914879397159</v>
      </c>
      <c r="H37" s="54">
        <v>2337.8289308546632</v>
      </c>
      <c r="I37" s="54">
        <v>471.11990327014428</v>
      </c>
      <c r="J37" s="54">
        <v>0.20152026397325501</v>
      </c>
      <c r="K37" s="54">
        <v>1.1864695411336339</v>
      </c>
      <c r="L37" s="20">
        <v>0.23909765512547665</v>
      </c>
      <c r="M37" s="366"/>
      <c r="N37" s="21"/>
      <c r="O37" s="21"/>
      <c r="P37" s="53"/>
      <c r="Q37" s="16"/>
    </row>
    <row r="38" spans="1:20">
      <c r="A38" s="63" t="e" vm="34">
        <v>#VALUE!</v>
      </c>
      <c r="B38" s="54">
        <v>205.07379999999998</v>
      </c>
      <c r="C38" s="54">
        <v>199.67778886260805</v>
      </c>
      <c r="D38" s="282">
        <v>2401.9921159240885</v>
      </c>
      <c r="E38" s="54">
        <v>771.8185383764993</v>
      </c>
      <c r="F38" s="54">
        <v>361.58571137868773</v>
      </c>
      <c r="G38" s="54">
        <v>-1947.424311112334</v>
      </c>
      <c r="H38" s="54">
        <v>2806.7437047866965</v>
      </c>
      <c r="I38" s="54">
        <v>-814.02006135714691</v>
      </c>
      <c r="J38" s="54">
        <v>-0.29002294009563295</v>
      </c>
      <c r="K38" s="54">
        <v>1.0457511870021499</v>
      </c>
      <c r="L38" s="20">
        <v>-0.30329183386286157</v>
      </c>
    </row>
    <row r="39" spans="1:20">
      <c r="C39" s="54"/>
    </row>
    <row r="40" spans="1:20">
      <c r="C40" s="54"/>
    </row>
    <row r="41" spans="1:20">
      <c r="C41" s="54"/>
    </row>
    <row r="42" spans="1:20">
      <c r="C42" s="54"/>
    </row>
    <row r="43" spans="1:20">
      <c r="C43" s="54"/>
    </row>
    <row r="44" spans="1:20">
      <c r="C44" s="54"/>
    </row>
    <row r="45" spans="1:20">
      <c r="C45" s="54"/>
    </row>
    <row r="46" spans="1:20">
      <c r="C46" s="54"/>
    </row>
    <row r="47" spans="1:20">
      <c r="C47" s="54"/>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AA7216-F280-784A-B53A-CF12D2D58789}">
  <sheetPr codeName="Sheet21">
    <tabColor theme="7"/>
  </sheetPr>
  <dimension ref="A1:R38"/>
  <sheetViews>
    <sheetView zoomScale="56" zoomScaleNormal="100" workbookViewId="0">
      <selection activeCell="S11" sqref="S11"/>
    </sheetView>
  </sheetViews>
  <sheetFormatPr baseColWidth="10" defaultRowHeight="16"/>
  <cols>
    <col min="1" max="1" width="34" customWidth="1"/>
    <col min="2" max="2" width="10.33203125" bestFit="1" customWidth="1"/>
    <col min="3" max="3" width="15.1640625" customWidth="1"/>
    <col min="4" max="4" width="14" customWidth="1"/>
    <col min="5" max="5" width="13" customWidth="1"/>
    <col min="6" max="6" width="14.1640625" customWidth="1"/>
    <col min="7" max="7" width="11.5" style="20" bestFit="1" customWidth="1"/>
    <col min="8" max="10" width="13.83203125" style="20" customWidth="1"/>
    <col min="11" max="11" width="15.1640625" style="20" customWidth="1"/>
    <col min="12" max="12" width="13.83203125" customWidth="1"/>
    <col min="13" max="13" width="26" customWidth="1"/>
    <col min="14" max="14" width="18.83203125" customWidth="1"/>
    <col min="15" max="15" width="13.5" customWidth="1"/>
  </cols>
  <sheetData>
    <row r="1" spans="1:18">
      <c r="A1" s="501" t="s">
        <v>841</v>
      </c>
    </row>
    <row r="2" spans="1:18" s="114" customFormat="1" ht="69" thickBot="1">
      <c r="A2" s="286" t="s">
        <v>13</v>
      </c>
      <c r="B2" s="283" t="s">
        <v>458</v>
      </c>
      <c r="C2" s="283" t="s">
        <v>459</v>
      </c>
      <c r="D2" s="283" t="s">
        <v>460</v>
      </c>
      <c r="E2" s="283" t="s">
        <v>578</v>
      </c>
      <c r="F2" s="283" t="s">
        <v>462</v>
      </c>
      <c r="G2" s="616" t="s">
        <v>465</v>
      </c>
      <c r="H2" s="616" t="s">
        <v>464</v>
      </c>
      <c r="I2" s="616" t="s">
        <v>572</v>
      </c>
      <c r="J2" s="616" t="s">
        <v>570</v>
      </c>
      <c r="K2" s="616" t="s">
        <v>571</v>
      </c>
      <c r="L2" s="138" t="s">
        <v>656</v>
      </c>
      <c r="M2" s="138" t="s">
        <v>634</v>
      </c>
      <c r="N2" s="138"/>
      <c r="O2" s="138"/>
      <c r="P2" s="138"/>
    </row>
    <row r="3" spans="1:18" ht="17">
      <c r="A3" s="298" t="s">
        <v>202</v>
      </c>
      <c r="B3" s="54">
        <f>'Privé - Contravention'!$E$8+'Caché - Accident'!$E$6</f>
        <v>217.42167565007125</v>
      </c>
      <c r="C3" s="282">
        <f>'Privé - Temps'!E19</f>
        <v>1861.061134928606</v>
      </c>
      <c r="D3" s="54">
        <f>'Indirect - Villes'!N13+'Indirect - Villes'!V13</f>
        <v>209.92313869282276</v>
      </c>
      <c r="E3" s="54">
        <f>'Caché - Accident'!$E$7+'Caché - Emprise spatiale'!O17</f>
        <v>530.73037565542893</v>
      </c>
      <c r="F3" s="54">
        <f>-'Caché - Santé'!E25</f>
        <v>-768.41290114779167</v>
      </c>
      <c r="G3" s="20">
        <f>SUM(B3:C3)</f>
        <v>2078.4828105786773</v>
      </c>
      <c r="H3" s="20">
        <f>SUM(D3:F3)</f>
        <v>-27.759386799539925</v>
      </c>
      <c r="I3" s="20">
        <f>H3/G3</f>
        <v>-1.3355600853783987E-2</v>
      </c>
      <c r="J3" s="20">
        <f>G3/('Clés de répartition'!I93*2*'Privé - Temps'!$B$11)</f>
        <v>3.6591369089094856</v>
      </c>
      <c r="K3" s="20">
        <f>H3/('Clés de répartition'!I93*2*'Privé - Temps'!$B$11)</f>
        <v>-4.8869972024744024E-2</v>
      </c>
      <c r="L3" s="366">
        <f t="shared" ref="L3:L18" si="0">K3/$K$3</f>
        <v>1</v>
      </c>
      <c r="M3" s="20"/>
      <c r="N3" s="21"/>
      <c r="O3" s="53"/>
      <c r="P3" s="16"/>
    </row>
    <row r="4" spans="1:18">
      <c r="A4" s="19" t="e" vm="1">
        <v>#VALUE!</v>
      </c>
      <c r="B4" s="54">
        <f>'Privé - Contravention'!$E$8+'Caché - Accident'!$E$6</f>
        <v>217.42167565007125</v>
      </c>
      <c r="C4" s="282">
        <f>'Privé - Temps'!E20</f>
        <v>1670.3969277043768</v>
      </c>
      <c r="D4" s="54">
        <f>'Indirect - Villes'!N14+'Indirect - Villes'!V14</f>
        <v>143.15591623203866</v>
      </c>
      <c r="E4" s="54">
        <f>'Caché - Accident'!$E$7+'Caché - Emprise spatiale'!O18</f>
        <v>192.63615654139448</v>
      </c>
      <c r="F4" s="54">
        <f>-'Caché - Santé'!E26</f>
        <v>-702.45672741197131</v>
      </c>
      <c r="G4" s="20">
        <f t="shared" ref="G4:G38" si="1">SUM(B4:C4)</f>
        <v>1887.818603354448</v>
      </c>
      <c r="H4" s="20">
        <f t="shared" ref="H4:H38" si="2">SUM(D4:F4)</f>
        <v>-366.6646546385382</v>
      </c>
      <c r="I4" s="20">
        <f t="shared" ref="I4:I38" si="3">H4/G4</f>
        <v>-0.1942266349039124</v>
      </c>
      <c r="J4" s="20">
        <f>G4/('Clés de répartition'!I94*2*'Privé - Temps'!$B$11)</f>
        <v>3.6355285137899087</v>
      </c>
      <c r="K4" s="20">
        <f>H4/('Clés de répartition'!I94*2*'Privé - Temps'!$B$11)</f>
        <v>-0.70611646933063588</v>
      </c>
      <c r="L4" s="366">
        <f t="shared" si="0"/>
        <v>14.448882208754128</v>
      </c>
      <c r="M4" s="21"/>
      <c r="O4" s="53"/>
      <c r="P4" s="16"/>
      <c r="Q4" s="292"/>
      <c r="R4" s="292"/>
    </row>
    <row r="5" spans="1:18">
      <c r="A5" s="19" t="e" vm="2">
        <v>#VALUE!</v>
      </c>
      <c r="B5" s="54">
        <f>'Privé - Contravention'!$E$8+'Caché - Accident'!$E$6</f>
        <v>217.42167565007125</v>
      </c>
      <c r="C5" s="282">
        <f>'Privé - Temps'!E21</f>
        <v>1426.6664260622665</v>
      </c>
      <c r="D5" s="54">
        <f>'Indirect - Villes'!N15+'Indirect - Villes'!V15</f>
        <v>38.857862904606677</v>
      </c>
      <c r="E5" s="54">
        <f>'Caché - Accident'!$E$7+'Caché - Emprise spatiale'!O19</f>
        <v>163.69441089232123</v>
      </c>
      <c r="F5" s="54">
        <f>-'Caché - Santé'!E27</f>
        <v>-613.78907523802059</v>
      </c>
      <c r="G5" s="20">
        <f t="shared" si="1"/>
        <v>1644.0881017123377</v>
      </c>
      <c r="H5" s="20">
        <f t="shared" si="2"/>
        <v>-411.23680144109267</v>
      </c>
      <c r="I5" s="20">
        <f t="shared" si="3"/>
        <v>-0.25013063534295066</v>
      </c>
      <c r="J5" s="20">
        <f>G5/('Clés de répartition'!I95*2*'Privé - Temps'!$B$11)</f>
        <v>3.6235378483785476</v>
      </c>
      <c r="K5" s="20">
        <f>H5/('Clés de répartition'!I95*2*'Privé - Temps'!$B$11)</f>
        <v>-0.90635782420415445</v>
      </c>
      <c r="L5" s="366">
        <f t="shared" si="0"/>
        <v>18.546313547002729</v>
      </c>
      <c r="M5" s="21"/>
      <c r="O5" s="53"/>
      <c r="P5" s="16"/>
      <c r="Q5" s="292"/>
      <c r="R5" s="292"/>
    </row>
    <row r="6" spans="1:18">
      <c r="A6" s="19" t="e" vm="3">
        <v>#VALUE!</v>
      </c>
      <c r="B6" s="54">
        <f>'Privé - Contravention'!$E$8+'Caché - Accident'!$E$6</f>
        <v>217.42167565007125</v>
      </c>
      <c r="C6" s="282">
        <f>'Privé - Temps'!E22</f>
        <v>1646.5613823561232</v>
      </c>
      <c r="D6" s="54">
        <f>'Indirect - Villes'!N16+'Indirect - Villes'!V16</f>
        <v>143.10566295909234</v>
      </c>
      <c r="E6" s="54">
        <f>'Caché - Accident'!$E$7+'Caché - Emprise spatiale'!O20</f>
        <v>284.35334201169348</v>
      </c>
      <c r="F6" s="54">
        <f>-'Caché - Santé'!E28</f>
        <v>-685.88624943101024</v>
      </c>
      <c r="G6" s="20">
        <f t="shared" si="1"/>
        <v>1863.9830580061944</v>
      </c>
      <c r="H6" s="20">
        <f t="shared" si="2"/>
        <v>-258.42724446022441</v>
      </c>
      <c r="I6" s="20">
        <f t="shared" si="3"/>
        <v>-0.13864248569761711</v>
      </c>
      <c r="J6" s="20">
        <f>G6/('Clés de répartition'!I96*2*'Privé - Temps'!$B$11)</f>
        <v>3.6763490124507601</v>
      </c>
      <c r="K6" s="20">
        <f>H6/('Clés de répartition'!I96*2*'Privé - Temps'!$B$11)</f>
        <v>-0.50969816537815327</v>
      </c>
      <c r="L6" s="366">
        <f t="shared" si="0"/>
        <v>10.429679908964978</v>
      </c>
      <c r="M6" s="21"/>
      <c r="N6" s="54"/>
      <c r="O6" s="53"/>
      <c r="P6" s="16"/>
      <c r="Q6" s="292"/>
      <c r="R6" s="292"/>
    </row>
    <row r="7" spans="1:18">
      <c r="A7" s="19" t="e" vm="4">
        <v>#VALUE!</v>
      </c>
      <c r="B7" s="54">
        <f>'Privé - Contravention'!$E$8+'Caché - Accident'!$E$6</f>
        <v>217.42167565007125</v>
      </c>
      <c r="C7" s="282">
        <f>'Privé - Temps'!E23</f>
        <v>1907.208385314563</v>
      </c>
      <c r="D7" s="54">
        <f>'Indirect - Villes'!N17+'Indirect - Villes'!V17</f>
        <v>46.702581130106466</v>
      </c>
      <c r="E7" s="54">
        <f>'Caché - Accident'!$E$7+'Caché - Emprise spatiale'!O21</f>
        <v>171.15955116134541</v>
      </c>
      <c r="F7" s="54">
        <f>-'Caché - Santé'!E29</f>
        <v>-807.10874391147206</v>
      </c>
      <c r="G7" s="20">
        <f t="shared" si="1"/>
        <v>2124.6300609646341</v>
      </c>
      <c r="H7" s="20">
        <f t="shared" si="2"/>
        <v>-589.24661162002019</v>
      </c>
      <c r="I7" s="20">
        <f t="shared" si="3"/>
        <v>-0.27734080508702197</v>
      </c>
      <c r="J7" s="20">
        <f>G7/('Clés de répartition'!I97*2*'Privé - Temps'!$B$11)</f>
        <v>3.5610505563502808</v>
      </c>
      <c r="K7" s="20">
        <f>H7/('Clés de répartition'!I97*2*'Privé - Temps'!$B$11)</f>
        <v>-0.98762462825377439</v>
      </c>
      <c r="L7" s="366">
        <f t="shared" si="0"/>
        <v>20.20923252736295</v>
      </c>
      <c r="M7" s="21"/>
      <c r="N7" s="54"/>
      <c r="O7" s="53"/>
      <c r="P7" s="16"/>
      <c r="Q7" s="292"/>
      <c r="R7" s="292"/>
    </row>
    <row r="8" spans="1:18">
      <c r="A8" s="19" t="e" vm="5">
        <v>#VALUE!</v>
      </c>
      <c r="B8" s="54">
        <f>'Privé - Contravention'!$E$8+'Caché - Accident'!$E$6</f>
        <v>217.42167565007125</v>
      </c>
      <c r="C8" s="282">
        <f>'Privé - Temps'!E24</f>
        <v>2644.2201058201013</v>
      </c>
      <c r="D8" s="54">
        <f>'Indirect - Villes'!N18+'Indirect - Villes'!V18</f>
        <v>204.50564074525406</v>
      </c>
      <c r="E8" s="54">
        <f>'Caché - Accident'!$E$7+'Caché - Emprise spatiale'!O22</f>
        <v>238.2620487823109</v>
      </c>
      <c r="F8" s="54">
        <f>-'Caché - Santé'!E30</f>
        <v>-1109.4414022303579</v>
      </c>
      <c r="G8" s="20">
        <f t="shared" si="1"/>
        <v>2861.6417814701726</v>
      </c>
      <c r="H8" s="20">
        <f t="shared" si="2"/>
        <v>-666.67371270279295</v>
      </c>
      <c r="I8" s="20">
        <f t="shared" si="3"/>
        <v>-0.23296896104175846</v>
      </c>
      <c r="J8" s="20">
        <f>G8/('Clés de répartition'!I98*2*'Privé - Temps'!$B$11)</f>
        <v>3.489295650016305</v>
      </c>
      <c r="K8" s="20">
        <f>H8/('Clés de répartition'!I98*2*'Privé - Temps'!$B$11)</f>
        <v>-0.81289758235182585</v>
      </c>
      <c r="L8" s="366">
        <f t="shared" si="0"/>
        <v>16.633886795356393</v>
      </c>
      <c r="M8" s="21"/>
      <c r="O8" s="53"/>
      <c r="P8" s="16"/>
      <c r="Q8" s="292"/>
      <c r="R8" s="292"/>
    </row>
    <row r="9" spans="1:18">
      <c r="A9" s="19" t="e" vm="6">
        <v>#VALUE!</v>
      </c>
      <c r="B9" s="54">
        <f>'Privé - Contravention'!$E$8+'Caché - Accident'!$E$6</f>
        <v>217.42167565007125</v>
      </c>
      <c r="C9" s="282">
        <f>'Privé - Temps'!E25</f>
        <v>1729.763402110415</v>
      </c>
      <c r="D9" s="54">
        <f>'Indirect - Villes'!N19+'Indirect - Villes'!V19</f>
        <v>342.14267336788782</v>
      </c>
      <c r="E9" s="54">
        <f>'Caché - Accident'!$E$7+'Caché - Emprise spatiale'!O23</f>
        <v>1488.7164816783568</v>
      </c>
      <c r="F9" s="54">
        <f>-'Caché - Santé'!E31</f>
        <v>-700.44114705502159</v>
      </c>
      <c r="G9" s="20">
        <f t="shared" si="1"/>
        <v>1947.1850777604861</v>
      </c>
      <c r="H9" s="20">
        <f t="shared" si="2"/>
        <v>1130.418007991223</v>
      </c>
      <c r="I9" s="20">
        <f t="shared" si="3"/>
        <v>0.58053958039332831</v>
      </c>
      <c r="J9" s="20">
        <f>G9/('Clés de répartition'!I99*2*'Privé - Temps'!$B$11)</f>
        <v>3.7606459818975346</v>
      </c>
      <c r="K9" s="20">
        <f>H9/('Clés de répartition'!I99*2*'Privé - Temps'!$B$11)</f>
        <v>2.1832038403386509</v>
      </c>
      <c r="L9" s="366">
        <f t="shared" si="0"/>
        <v>-44.673728056018597</v>
      </c>
      <c r="M9" t="s">
        <v>632</v>
      </c>
      <c r="N9" s="54"/>
      <c r="O9" s="53"/>
      <c r="P9" s="16"/>
      <c r="Q9" s="292"/>
      <c r="R9" s="292"/>
    </row>
    <row r="10" spans="1:18">
      <c r="A10" s="19" t="e" vm="7">
        <v>#VALUE!</v>
      </c>
      <c r="B10" s="54">
        <f>'Privé - Contravention'!$E$8+'Caché - Accident'!$E$6</f>
        <v>217.42167565007125</v>
      </c>
      <c r="C10" s="282">
        <f>'Privé - Temps'!E26</f>
        <v>2383.4905572611351</v>
      </c>
      <c r="D10" s="54">
        <f>'Indirect - Villes'!N20+'Indirect - Villes'!V20</f>
        <v>82.151707141109227</v>
      </c>
      <c r="E10" s="54">
        <f>'Caché - Accident'!$E$7+'Caché - Emprise spatiale'!O24</f>
        <v>190.69964094323961</v>
      </c>
      <c r="F10" s="54">
        <f>-'Caché - Santé'!E32</f>
        <v>-1037.5065889014284</v>
      </c>
      <c r="G10" s="20">
        <f t="shared" si="1"/>
        <v>2600.9122329112065</v>
      </c>
      <c r="H10" s="20">
        <f t="shared" si="2"/>
        <v>-764.65524081707952</v>
      </c>
      <c r="I10" s="20">
        <f t="shared" si="3"/>
        <v>-0.29399501880199908</v>
      </c>
      <c r="J10" s="20">
        <f>G10/('Clés de répartition'!I100*2*'Privé - Temps'!$B$11)</f>
        <v>3.3912648118454398</v>
      </c>
      <c r="K10" s="20">
        <f>H10/('Clés de répartition'!I100*2*'Privé - Temps'!$B$11)</f>
        <v>-0.99701496212105789</v>
      </c>
      <c r="L10" s="366">
        <f t="shared" si="0"/>
        <v>20.401381887762195</v>
      </c>
      <c r="M10" s="21"/>
      <c r="O10" s="53"/>
      <c r="P10" s="16"/>
      <c r="Q10" s="292"/>
      <c r="R10" s="292"/>
    </row>
    <row r="11" spans="1:18">
      <c r="A11" s="19" t="e" vm="8">
        <v>#VALUE!</v>
      </c>
      <c r="B11" s="54">
        <f>'Privé - Contravention'!$E$8+'Caché - Accident'!$E$6</f>
        <v>217.42167565007125</v>
      </c>
      <c r="C11" s="282">
        <f>'Privé - Temps'!E27</f>
        <v>1851.7669128944078</v>
      </c>
      <c r="D11" s="54">
        <f>'Indirect - Villes'!N21+'Indirect - Villes'!V21</f>
        <v>208.62596729944681</v>
      </c>
      <c r="E11" s="54">
        <f>'Caché - Accident'!$E$7+'Caché - Emprise spatiale'!O25</f>
        <v>518.46046273697664</v>
      </c>
      <c r="F11" s="54">
        <f>-'Caché - Santé'!E33</f>
        <v>-764.0790631183711</v>
      </c>
      <c r="G11" s="20">
        <f t="shared" si="1"/>
        <v>2069.188588544479</v>
      </c>
      <c r="H11" s="20">
        <f t="shared" si="2"/>
        <v>-36.992633081947588</v>
      </c>
      <c r="I11" s="20">
        <f t="shared" si="3"/>
        <v>-1.7877845106409159E-2</v>
      </c>
      <c r="J11" s="20">
        <f>G11/('Clés de répartition'!I101*2*'Privé - Temps'!$B$11)</f>
        <v>3.6634363040490743</v>
      </c>
      <c r="K11" s="20">
        <f>H11/('Clés de répartition'!I101*2*'Privé - Temps'!$B$11)</f>
        <v>-6.5494346800985398E-2</v>
      </c>
      <c r="L11" s="366">
        <f t="shared" si="0"/>
        <v>1.3401756556730595</v>
      </c>
      <c r="M11" s="21"/>
      <c r="N11" s="53"/>
      <c r="O11" s="53"/>
      <c r="P11" s="16"/>
      <c r="Q11" s="292"/>
      <c r="R11" s="292"/>
    </row>
    <row r="12" spans="1:18">
      <c r="A12" s="19" t="e" vm="9">
        <v>#VALUE!</v>
      </c>
      <c r="B12" s="54">
        <f>'Privé - Contravention'!$E$8+'Caché - Accident'!$E$6</f>
        <v>217.42167565007125</v>
      </c>
      <c r="C12" s="282">
        <f>'Privé - Temps'!E28</f>
        <v>1503.1231381545749</v>
      </c>
      <c r="D12" s="54">
        <f>'Indirect - Villes'!N22+'Indirect - Villes'!V22</f>
        <v>437.02336260901444</v>
      </c>
      <c r="E12" s="54">
        <f>'Caché - Accident'!$E$7+'Caché - Emprise spatiale'!O26</f>
        <v>174.97785525552086</v>
      </c>
      <c r="F12" s="54">
        <f>-'Caché - Santé'!E34</f>
        <v>-641.1300905485391</v>
      </c>
      <c r="G12" s="20">
        <f t="shared" si="1"/>
        <v>1720.5448138046461</v>
      </c>
      <c r="H12" s="20">
        <f t="shared" si="2"/>
        <v>-29.128872684003795</v>
      </c>
      <c r="I12" s="20">
        <f t="shared" si="3"/>
        <v>-1.6930028471383449E-2</v>
      </c>
      <c r="J12" s="20">
        <f>G12/('Clés de répartition'!I102*2*'Privé - Temps'!$B$11)</f>
        <v>3.6303349631017499</v>
      </c>
      <c r="K12" s="20">
        <f>H12/('Clés de répartition'!I102*2*'Privé - Temps'!$B$11)</f>
        <v>-6.1461674285971414E-2</v>
      </c>
      <c r="L12" s="366">
        <f t="shared" si="0"/>
        <v>1.2576572430786723</v>
      </c>
      <c r="M12" s="21"/>
      <c r="O12" s="53"/>
      <c r="P12" s="16"/>
      <c r="Q12" s="292"/>
      <c r="R12" s="292"/>
    </row>
    <row r="13" spans="1:18">
      <c r="A13" s="19" t="e" vm="10">
        <v>#VALUE!</v>
      </c>
      <c r="B13" s="54">
        <f>'Privé - Contravention'!$E$8+'Caché - Accident'!$E$6</f>
        <v>217.42167565007125</v>
      </c>
      <c r="C13" s="282">
        <f>'Privé - Temps'!E29</f>
        <v>1847.1097775353064</v>
      </c>
      <c r="D13" s="54">
        <f>'Indirect - Villes'!N23+'Indirect - Villes'!V23</f>
        <v>441.08579582372101</v>
      </c>
      <c r="E13" s="54">
        <f>'Caché - Accident'!$E$7+'Caché - Emprise spatiale'!O27</f>
        <v>1011.3631301456002</v>
      </c>
      <c r="F13" s="54">
        <f>-'Caché - Santé'!E35</f>
        <v>-771.67324103928252</v>
      </c>
      <c r="G13" s="20">
        <f t="shared" si="1"/>
        <v>2064.5314531853778</v>
      </c>
      <c r="H13" s="20">
        <f t="shared" si="2"/>
        <v>680.77568493003866</v>
      </c>
      <c r="I13" s="20">
        <f t="shared" si="3"/>
        <v>0.32974827478635205</v>
      </c>
      <c r="J13" s="20">
        <f>G13/('Clés de répartition'!I103*2*'Privé - Temps'!$B$11)</f>
        <v>3.61921958064808</v>
      </c>
      <c r="K13" s="20">
        <f>H13/('Clés de répartition'!I103*2*'Privé - Temps'!$B$11)</f>
        <v>1.193431412791689</v>
      </c>
      <c r="L13" s="366">
        <f t="shared" si="0"/>
        <v>-24.420546264839817</v>
      </c>
      <c r="M13" t="s">
        <v>657</v>
      </c>
      <c r="O13" s="53"/>
      <c r="P13" s="16"/>
      <c r="Q13" s="292"/>
      <c r="R13" s="292"/>
    </row>
    <row r="14" spans="1:18">
      <c r="A14" s="19" t="e" vm="11">
        <v>#VALUE!</v>
      </c>
      <c r="B14" s="54">
        <f>'Privé - Contravention'!$E$8+'Caché - Accident'!$E$6</f>
        <v>217.42167565007125</v>
      </c>
      <c r="C14" s="282">
        <f>'Privé - Temps'!E30</f>
        <v>2422.2917917686718</v>
      </c>
      <c r="D14" s="54">
        <f>'Indirect - Villes'!N24+'Indirect - Villes'!V24</f>
        <v>258.75742935852833</v>
      </c>
      <c r="E14" s="54">
        <f>'Caché - Accident'!$E$7+'Caché - Emprise spatiale'!O28</f>
        <v>1409.9452120299502</v>
      </c>
      <c r="F14" s="54">
        <f>-'Caché - Santé'!E36</f>
        <v>-989.49445741676152</v>
      </c>
      <c r="G14" s="20">
        <f t="shared" si="1"/>
        <v>2639.7134674187432</v>
      </c>
      <c r="H14" s="20">
        <f t="shared" si="2"/>
        <v>679.20818397171695</v>
      </c>
      <c r="I14" s="20">
        <f t="shared" si="3"/>
        <v>0.2573037537425924</v>
      </c>
      <c r="J14" s="20">
        <f>G14/('Clés de répartition'!I104*2*'Privé - Temps'!$B$11)</f>
        <v>3.6088621391457885</v>
      </c>
      <c r="K14" s="20">
        <f>H14/('Clés de répartition'!I104*2*'Privé - Temps'!$B$11)</f>
        <v>0.92857377514173312</v>
      </c>
      <c r="L14" s="366">
        <f t="shared" si="0"/>
        <v>-19.000906623633306</v>
      </c>
      <c r="M14" t="s">
        <v>632</v>
      </c>
      <c r="O14" s="53"/>
      <c r="P14" s="16"/>
      <c r="Q14" s="292"/>
      <c r="R14" s="292"/>
    </row>
    <row r="15" spans="1:18">
      <c r="A15" s="19" t="e" vm="12">
        <v>#VALUE!</v>
      </c>
      <c r="B15" s="54">
        <f>'Privé - Contravention'!$E$8+'Caché - Accident'!$E$6</f>
        <v>217.42167565007125</v>
      </c>
      <c r="C15" s="282">
        <f>'Privé - Temps'!E31</f>
        <v>1855.9492462716682</v>
      </c>
      <c r="D15" s="54">
        <f>'Indirect - Villes'!N25+'Indirect - Villes'!V25</f>
        <v>179.19056841851543</v>
      </c>
      <c r="E15" s="54">
        <f>'Caché - Accident'!$E$7+'Caché - Emprise spatiale'!O29</f>
        <v>304.83885457301204</v>
      </c>
      <c r="F15" s="54">
        <f>-'Caché - Santé'!E37</f>
        <v>-796.70932679106375</v>
      </c>
      <c r="G15" s="20">
        <f t="shared" si="1"/>
        <v>2073.3709219217394</v>
      </c>
      <c r="H15" s="20">
        <f t="shared" si="2"/>
        <v>-312.67990379953631</v>
      </c>
      <c r="I15" s="20">
        <f t="shared" si="3"/>
        <v>-0.15080750891872427</v>
      </c>
      <c r="J15" s="20">
        <f>G15/('Clés de répartition'!I105*2*'Privé - Temps'!$B$11)</f>
        <v>3.5204969461993278</v>
      </c>
      <c r="K15" s="20">
        <f>H15/('Clés de répartition'!I105*2*'Privé - Temps'!$B$11)</f>
        <v>-0.53091737461229671</v>
      </c>
      <c r="L15" s="366">
        <f t="shared" si="0"/>
        <v>10.863877195253574</v>
      </c>
      <c r="M15" s="21"/>
      <c r="O15" s="53"/>
      <c r="P15" s="16"/>
      <c r="Q15" s="292"/>
      <c r="R15" s="292"/>
    </row>
    <row r="16" spans="1:18">
      <c r="A16" s="19" t="e" vm="13">
        <v>#VALUE!</v>
      </c>
      <c r="B16" s="54">
        <f>'Privé - Contravention'!$E$8+'Caché - Accident'!$E$6</f>
        <v>217.42167565007125</v>
      </c>
      <c r="C16" s="282">
        <f>'Privé - Temps'!E32</f>
        <v>1175.5376591894601</v>
      </c>
      <c r="D16" s="54">
        <f>'Indirect - Villes'!N26+'Indirect - Villes'!V26</f>
        <v>139.3636625491751</v>
      </c>
      <c r="E16" s="54">
        <f>'Caché - Accident'!$E$7+'Caché - Emprise spatiale'!O30</f>
        <v>75.052369014916536</v>
      </c>
      <c r="F16" s="54">
        <f>-'Caché - Santé'!E38</f>
        <v>-486.77806730636996</v>
      </c>
      <c r="G16" s="20">
        <f t="shared" si="1"/>
        <v>1392.9593348395313</v>
      </c>
      <c r="H16" s="20">
        <f t="shared" si="2"/>
        <v>-272.36203574227829</v>
      </c>
      <c r="I16" s="20">
        <f t="shared" si="3"/>
        <v>-0.19552762879015012</v>
      </c>
      <c r="J16" s="20">
        <f>G16/('Clés de répartition'!I106*2*'Privé - Temps'!$B$11)</f>
        <v>3.87109924668228</v>
      </c>
      <c r="K16" s="20">
        <f>H16/('Clés de répartition'!I106*2*'Privé - Temps'!$B$11)</f>
        <v>-0.75690685651512268</v>
      </c>
      <c r="L16" s="366">
        <f t="shared" si="0"/>
        <v>15.488178633126346</v>
      </c>
      <c r="M16" s="21"/>
      <c r="O16" s="53"/>
      <c r="P16" s="16"/>
      <c r="Q16" s="292"/>
      <c r="R16" s="292"/>
    </row>
    <row r="17" spans="1:18">
      <c r="A17" s="19" t="e" vm="14">
        <v>#VALUE!</v>
      </c>
      <c r="B17" s="54">
        <f>'Privé - Contravention'!$E$8+'Caché - Accident'!$E$6</f>
        <v>217.42167565007125</v>
      </c>
      <c r="C17" s="282">
        <f>'Privé - Temps'!E33</f>
        <v>0</v>
      </c>
      <c r="D17" s="54">
        <f>'Indirect - Villes'!N27+'Indirect - Villes'!V27</f>
        <v>6.0934294670376454</v>
      </c>
      <c r="E17" s="54">
        <f>'Caché - Accident'!$E$7+'Caché - Emprise spatiale'!O31</f>
        <v>28.7420362406652</v>
      </c>
      <c r="F17" s="54">
        <f>-'Caché - Santé'!E39</f>
        <v>0</v>
      </c>
      <c r="G17" s="20">
        <f t="shared" si="1"/>
        <v>217.42167565007125</v>
      </c>
      <c r="H17" s="20">
        <f t="shared" si="2"/>
        <v>34.835465707702845</v>
      </c>
      <c r="I17" s="20">
        <f t="shared" si="3"/>
        <v>0.1602207581353052</v>
      </c>
      <c r="J17" s="20">
        <f>IF('Clés de répartition'!E64=0,0,G17/('Clés de répartition'!I107*2*'Privé - Temps'!$B$11))</f>
        <v>0</v>
      </c>
      <c r="K17" s="20">
        <f>IF('Clés de répartition'!E64=0,0,H17/('Clés de répartition'!I107*2*'Privé - Temps'!$B$11))</f>
        <v>0</v>
      </c>
      <c r="L17" s="366">
        <f t="shared" si="0"/>
        <v>0</v>
      </c>
      <c r="M17" s="21"/>
      <c r="O17" s="53"/>
      <c r="P17" s="16"/>
      <c r="Q17" s="292"/>
      <c r="R17" s="292"/>
    </row>
    <row r="18" spans="1:18">
      <c r="A18" s="19" t="e" vm="15">
        <v>#VALUE!</v>
      </c>
      <c r="B18" s="54">
        <f>'Privé - Contravention'!$E$8+'Caché - Accident'!$E$6</f>
        <v>217.42167565007125</v>
      </c>
      <c r="C18" s="282">
        <f>'Privé - Temps'!E34</f>
        <v>2474.6953717491951</v>
      </c>
      <c r="D18" s="54">
        <f>'Indirect - Villes'!N28+'Indirect - Villes'!V28</f>
        <v>405.45280617563196</v>
      </c>
      <c r="E18" s="54">
        <f>'Caché - Accident'!$E$7+'Caché - Emprise spatiale'!O32</f>
        <v>1779.9051115218542</v>
      </c>
      <c r="F18" s="54">
        <f>-'Caché - Santé'!E40</f>
        <v>-1021.9122359637374</v>
      </c>
      <c r="G18" s="20">
        <f t="shared" si="1"/>
        <v>2692.1170473992665</v>
      </c>
      <c r="H18" s="20">
        <f t="shared" si="2"/>
        <v>1163.4456817337489</v>
      </c>
      <c r="I18" s="20">
        <f t="shared" si="3"/>
        <v>0.43216756970418563</v>
      </c>
      <c r="J18" s="20">
        <f>G18/('Clés de répartition'!I108*2*'Privé - Temps'!$B$11)</f>
        <v>3.5637498225312396</v>
      </c>
      <c r="K18" s="20">
        <f>H18/('Clés de répartition'!I108*2*'Privé - Temps'!$B$11)</f>
        <v>1.5401370998370485</v>
      </c>
      <c r="L18" s="366">
        <f t="shared" si="0"/>
        <v>-31.514998597855563</v>
      </c>
      <c r="M18" t="s">
        <v>632</v>
      </c>
      <c r="O18" s="53"/>
      <c r="P18" s="16"/>
      <c r="Q18" s="292"/>
      <c r="R18" s="292"/>
    </row>
    <row r="19" spans="1:18">
      <c r="A19" s="107" t="s">
        <v>585</v>
      </c>
      <c r="B19" s="325"/>
      <c r="C19" s="325"/>
      <c r="D19" s="326"/>
      <c r="E19" s="326"/>
      <c r="F19" s="326"/>
      <c r="G19" s="617"/>
      <c r="H19" s="617"/>
      <c r="I19" s="617"/>
      <c r="J19" s="617"/>
      <c r="K19" s="617"/>
      <c r="L19" s="326"/>
      <c r="M19" s="21"/>
      <c r="O19" s="53"/>
      <c r="P19" s="16"/>
      <c r="Q19" s="292"/>
      <c r="R19" s="292"/>
    </row>
    <row r="20" spans="1:18" ht="17">
      <c r="A20" s="66" t="e" vm="16">
        <v>#VALUE!</v>
      </c>
      <c r="B20" s="54">
        <f>'Privé - Contravention'!$E$8+'Caché - Accident'!$E$6</f>
        <v>217.42167565007125</v>
      </c>
      <c r="C20" s="282">
        <f>'Privé - Temps'!E36</f>
        <v>1669.2803117588151</v>
      </c>
      <c r="D20" s="54">
        <f>'Indirect - Villes'!N30+'Indirect - Villes'!V30</f>
        <v>211.45742105755014</v>
      </c>
      <c r="E20" s="54">
        <f>'Caché - Accident'!$E$7+'Caché - Emprise spatiale'!O34</f>
        <v>449.74066492566675</v>
      </c>
      <c r="F20" s="54">
        <f>-'Caché - Santé'!E42</f>
        <v>-696.89565625278351</v>
      </c>
      <c r="G20" s="20">
        <f t="shared" si="1"/>
        <v>1886.7019874088862</v>
      </c>
      <c r="H20" s="20">
        <f t="shared" si="2"/>
        <v>-35.697570269566654</v>
      </c>
      <c r="I20" s="20">
        <f t="shared" si="3"/>
        <v>-1.8920619423628281E-2</v>
      </c>
      <c r="J20" s="20">
        <f>G20/('Clés de répartition'!I110*2*'Privé - Temps'!$B$11)</f>
        <v>3.6623716974679192</v>
      </c>
      <c r="K20" s="20">
        <f>H20/('Clés de répartition'!I110*2*'Privé - Temps'!$B$11)</f>
        <v>-6.9294341075657989E-2</v>
      </c>
      <c r="L20" s="366">
        <f t="shared" ref="L20:L38" si="4">K20/$K$3</f>
        <v>1.4179328983567379</v>
      </c>
      <c r="M20" s="21"/>
      <c r="O20" s="53"/>
      <c r="P20" s="16"/>
      <c r="Q20" s="292"/>
      <c r="R20" s="292"/>
    </row>
    <row r="21" spans="1:18" ht="17">
      <c r="A21" s="66" t="e" vm="17">
        <v>#VALUE!</v>
      </c>
      <c r="B21" s="54">
        <f>'Privé - Contravention'!$E$8+'Caché - Accident'!$E$6</f>
        <v>217.42167565007125</v>
      </c>
      <c r="C21" s="282">
        <f>'Privé - Temps'!E37</f>
        <v>1698.7812930933949</v>
      </c>
      <c r="D21" s="54">
        <f>'Indirect - Villes'!N31+'Indirect - Villes'!V31</f>
        <v>212.9195960499186</v>
      </c>
      <c r="E21" s="54">
        <f>'Caché - Accident'!$E$7+'Caché - Emprise spatiale'!O35</f>
        <v>275.69778919938693</v>
      </c>
      <c r="F21" s="54">
        <f>-'Caché - Santé'!E43</f>
        <v>-719.09688521269675</v>
      </c>
      <c r="G21" s="20">
        <f t="shared" si="1"/>
        <v>1916.202968743466</v>
      </c>
      <c r="H21" s="20">
        <f t="shared" si="2"/>
        <v>-230.47949996339122</v>
      </c>
      <c r="I21" s="20">
        <f t="shared" si="3"/>
        <v>-0.12027927298042243</v>
      </c>
      <c r="J21" s="20">
        <f>G21/('Clés de répartition'!I111*2*'Privé - Temps'!$B$11)</f>
        <v>3.6047983108283286</v>
      </c>
      <c r="K21" s="20">
        <f>H21/('Clés de répartition'!I111*2*'Privé - Temps'!$B$11)</f>
        <v>-0.43358252006748621</v>
      </c>
      <c r="L21" s="366">
        <f t="shared" si="4"/>
        <v>8.8721663243014159</v>
      </c>
      <c r="M21" s="21"/>
      <c r="O21" s="53"/>
      <c r="P21" s="16"/>
      <c r="Q21" s="292"/>
      <c r="R21" s="292"/>
    </row>
    <row r="22" spans="1:18">
      <c r="A22" s="87" t="e" vm="18">
        <v>#VALUE!</v>
      </c>
      <c r="B22" s="54">
        <f>'Privé - Contravention'!$E$8+'Caché - Accident'!$E$6</f>
        <v>217.42167565007125</v>
      </c>
      <c r="C22" s="282">
        <f>'Privé - Temps'!E38</f>
        <v>1975.1338802758619</v>
      </c>
      <c r="D22" s="54">
        <f>'Indirect - Villes'!N32+'Indirect - Villes'!V32</f>
        <v>206.79415908420009</v>
      </c>
      <c r="E22" s="54">
        <f>'Caché - Accident'!$E$7+'Caché - Emprise spatiale'!O36</f>
        <v>348.0235770745652</v>
      </c>
      <c r="F22" s="54">
        <f>-'Caché - Santé'!E44</f>
        <v>-798.91280753792853</v>
      </c>
      <c r="G22" s="20">
        <f t="shared" si="1"/>
        <v>2192.5555559259333</v>
      </c>
      <c r="H22" s="20">
        <f t="shared" si="2"/>
        <v>-244.0950713791633</v>
      </c>
      <c r="I22" s="20">
        <f t="shared" si="3"/>
        <v>-0.11132902458021414</v>
      </c>
      <c r="J22" s="20">
        <f>G22/('Clés de répartition'!I112*2*'Privé - Temps'!$B$11)</f>
        <v>3.7125994229837547</v>
      </c>
      <c r="K22" s="20">
        <f>H22/('Clés de répartition'!I112*2*'Privé - Temps'!$B$11)</f>
        <v>-0.41332007241784724</v>
      </c>
      <c r="L22" s="366">
        <f t="shared" si="4"/>
        <v>8.4575467366458383</v>
      </c>
      <c r="M22" s="21"/>
      <c r="O22" s="53"/>
      <c r="P22" s="16"/>
      <c r="Q22" s="292"/>
      <c r="R22" s="292"/>
    </row>
    <row r="23" spans="1:18">
      <c r="A23" s="63" t="e" vm="19">
        <v>#VALUE!</v>
      </c>
      <c r="B23" s="54">
        <f>'Privé - Contravention'!$E$8+'Caché - Accident'!$E$6</f>
        <v>217.42167565007125</v>
      </c>
      <c r="C23" s="282">
        <f>'Privé - Temps'!E39</f>
        <v>1628.1485757036967</v>
      </c>
      <c r="D23" s="54">
        <f>'Indirect - Villes'!N33+'Indirect - Villes'!V33</f>
        <v>207.58706067333461</v>
      </c>
      <c r="E23" s="54">
        <f>'Caché - Accident'!$E$7+'Caché - Emprise spatiale'!O37</f>
        <v>44.645204974498753</v>
      </c>
      <c r="F23" s="54">
        <f>-'Caché - Santé'!E45</f>
        <v>-678.87075133127371</v>
      </c>
      <c r="G23" s="20">
        <f t="shared" si="1"/>
        <v>1845.5702513537678</v>
      </c>
      <c r="H23" s="20">
        <f t="shared" si="2"/>
        <v>-426.63848568344036</v>
      </c>
      <c r="I23" s="20">
        <f t="shared" si="3"/>
        <v>-0.23116892210984183</v>
      </c>
      <c r="J23" s="20">
        <f>G23/('Clés de répartition'!I113*2*'Privé - Temps'!$B$11)</f>
        <v>3.6776496434845694</v>
      </c>
      <c r="K23" s="20">
        <f>H23/('Clés de répartition'!I113*2*'Privé - Temps'!$B$11)</f>
        <v>-0.8501583039819719</v>
      </c>
      <c r="L23" s="366">
        <f t="shared" si="4"/>
        <v>17.396332937361137</v>
      </c>
      <c r="M23" s="21"/>
      <c r="O23" s="53"/>
      <c r="P23" s="16"/>
      <c r="Q23" s="292"/>
      <c r="R23" s="292"/>
    </row>
    <row r="24" spans="1:18">
      <c r="A24" s="63" t="e" vm="20">
        <v>#VALUE!</v>
      </c>
      <c r="B24" s="54">
        <f>'Privé - Contravention'!$E$8+'Caché - Accident'!$E$6</f>
        <v>217.42167565007125</v>
      </c>
      <c r="C24" s="282">
        <f>'Privé - Temps'!E40</f>
        <v>1224.7199441633215</v>
      </c>
      <c r="D24" s="54">
        <f>'Indirect - Villes'!N34+'Indirect - Villes'!V34</f>
        <v>211.95451450820352</v>
      </c>
      <c r="E24" s="54">
        <f>'Caché - Accident'!$E$7+'Caché - Emprise spatiale'!O38</f>
        <v>256.01015447268395</v>
      </c>
      <c r="F24" s="54">
        <f>-'Caché - Santé'!E46</f>
        <v>-514.97838943949978</v>
      </c>
      <c r="G24" s="20">
        <f t="shared" si="1"/>
        <v>1442.1416198133927</v>
      </c>
      <c r="H24" s="20">
        <f t="shared" si="2"/>
        <v>-47.013720458612283</v>
      </c>
      <c r="I24" s="20">
        <f t="shared" si="3"/>
        <v>-3.2599933191509771E-2</v>
      </c>
      <c r="J24" s="20">
        <f>G24/('Clés de répartition'!I114*2*'Privé - Temps'!$B$11)</f>
        <v>3.7883123147336901</v>
      </c>
      <c r="K24" s="20">
        <f>H24/('Clés de répartition'!I114*2*'Privé - Temps'!$B$11)</f>
        <v>-0.12349872836889202</v>
      </c>
      <c r="L24" s="366">
        <f t="shared" si="4"/>
        <v>2.5270881740296818</v>
      </c>
      <c r="M24" s="21"/>
      <c r="O24" s="53"/>
      <c r="P24" s="16"/>
      <c r="Q24" s="292"/>
      <c r="R24" s="292"/>
    </row>
    <row r="25" spans="1:18" ht="17">
      <c r="A25" s="66" t="e" vm="21">
        <v>#VALUE!</v>
      </c>
      <c r="B25" s="54">
        <f>'Privé - Contravention'!$E$8+'Caché - Accident'!$E$6</f>
        <v>217.42167565007125</v>
      </c>
      <c r="C25" s="282">
        <f>'Privé - Temps'!E41</f>
        <v>1313.7363779569982</v>
      </c>
      <c r="D25" s="54">
        <f>'Indirect - Villes'!N35+'Indirect - Villes'!V35</f>
        <v>209.22063828937766</v>
      </c>
      <c r="E25" s="54">
        <f>'Caché - Accident'!$E$7+'Caché - Emprise spatiale'!O39</f>
        <v>287.17391985115898</v>
      </c>
      <c r="F25" s="54">
        <f>-'Caché - Santé'!E47</f>
        <v>-554.27914657239819</v>
      </c>
      <c r="G25" s="20">
        <f t="shared" si="1"/>
        <v>1531.1580536070694</v>
      </c>
      <c r="H25" s="20">
        <f t="shared" si="2"/>
        <v>-57.884588431861516</v>
      </c>
      <c r="I25" s="20">
        <f t="shared" si="3"/>
        <v>-3.7804450230006129E-2</v>
      </c>
      <c r="J25" s="20">
        <f>G25/('Clés de répartition'!I115*2*'Privé - Temps'!$B$11)</f>
        <v>3.7369591736225622</v>
      </c>
      <c r="K25" s="20">
        <f>H25/('Clés de répartition'!I115*2*'Privé - Temps'!$B$11)</f>
        <v>-0.14127368709077898</v>
      </c>
      <c r="L25" s="366">
        <f t="shared" si="4"/>
        <v>2.890807611251522</v>
      </c>
      <c r="M25" s="21"/>
      <c r="N25" s="54"/>
      <c r="O25" s="53"/>
      <c r="P25" s="16"/>
      <c r="Q25" s="292"/>
      <c r="R25" s="292"/>
    </row>
    <row r="26" spans="1:18">
      <c r="A26" s="63" t="e" vm="22">
        <v>#VALUE!</v>
      </c>
      <c r="B26" s="54">
        <f>'Privé - Contravention'!$E$8+'Caché - Accident'!$E$6</f>
        <v>217.42167565007125</v>
      </c>
      <c r="C26" s="282">
        <f>'Privé - Temps'!E42</f>
        <v>1792.192206478765</v>
      </c>
      <c r="D26" s="54">
        <f>'Indirect - Villes'!N36+'Indirect - Villes'!V36</f>
        <v>207.81167711762077</v>
      </c>
      <c r="E26" s="54">
        <f>'Caché - Accident'!$E$7+'Caché - Emprise spatiale'!O40</f>
        <v>316.35112090192376</v>
      </c>
      <c r="F26" s="54">
        <f>-'Caché - Santé'!E48</f>
        <v>-741.19985082381777</v>
      </c>
      <c r="G26" s="20">
        <f t="shared" si="1"/>
        <v>2009.6138821288362</v>
      </c>
      <c r="H26" s="20">
        <f t="shared" si="2"/>
        <v>-217.03705280427323</v>
      </c>
      <c r="I26" s="20">
        <f t="shared" si="3"/>
        <v>-0.10799937974869095</v>
      </c>
      <c r="J26" s="20">
        <f>G26/('Clés de répartition'!I116*2*'Privé - Temps'!$B$11)</f>
        <v>3.667787521882159</v>
      </c>
      <c r="K26" s="20">
        <f>H26/('Clés de répartition'!I116*2*'Privé - Temps'!$B$11)</f>
        <v>-0.3961187774132614</v>
      </c>
      <c r="L26" s="366">
        <f t="shared" si="4"/>
        <v>8.1055658720798345</v>
      </c>
      <c r="M26" s="21"/>
      <c r="O26" s="53"/>
      <c r="P26" s="16"/>
      <c r="Q26" s="292"/>
      <c r="R26" s="292"/>
    </row>
    <row r="27" spans="1:18">
      <c r="A27" s="63" t="e" vm="23">
        <v>#VALUE!</v>
      </c>
      <c r="B27" s="54">
        <f>'Privé - Contravention'!$E$8+'Caché - Accident'!$E$6</f>
        <v>217.42167565007125</v>
      </c>
      <c r="C27" s="282">
        <f>'Privé - Temps'!E43</f>
        <v>1381.0691919293499</v>
      </c>
      <c r="D27" s="54">
        <f>'Indirect - Villes'!N37+'Indirect - Villes'!V37</f>
        <v>212.05577325582775</v>
      </c>
      <c r="E27" s="54">
        <f>'Caché - Accident'!$E$7+'Caché - Emprise spatiale'!O41</f>
        <v>252.64224418645972</v>
      </c>
      <c r="F27" s="54">
        <f>-'Caché - Santé'!E49</f>
        <v>-580.14410746560645</v>
      </c>
      <c r="G27" s="20">
        <f t="shared" si="1"/>
        <v>1598.4908675794211</v>
      </c>
      <c r="H27" s="20">
        <f t="shared" si="2"/>
        <v>-115.44609002331902</v>
      </c>
      <c r="I27" s="20">
        <f t="shared" si="3"/>
        <v>-7.2221926546341728E-2</v>
      </c>
      <c r="J27" s="20">
        <f>G27/('Clés de répartition'!I117*2*'Privé - Temps'!$B$11)</f>
        <v>3.7273583132467691</v>
      </c>
      <c r="K27" s="20">
        <f>H27/('Clés de répartition'!I117*2*'Privé - Temps'!$B$11)</f>
        <v>-0.26919699831120436</v>
      </c>
      <c r="L27" s="366">
        <f t="shared" si="4"/>
        <v>5.5084336486811072</v>
      </c>
      <c r="M27" s="21"/>
      <c r="N27" s="54"/>
      <c r="O27" s="53"/>
      <c r="P27" s="16"/>
      <c r="Q27" s="292"/>
      <c r="R27" s="292"/>
    </row>
    <row r="28" spans="1:18">
      <c r="A28" s="63" t="e" vm="24">
        <v>#VALUE!</v>
      </c>
      <c r="B28" s="54">
        <f>'Privé - Contravention'!$E$8+'Caché - Accident'!$E$6</f>
        <v>217.42167565007125</v>
      </c>
      <c r="C28" s="282">
        <f>'Privé - Temps'!E44</f>
        <v>1986.0838598126634</v>
      </c>
      <c r="D28" s="54">
        <f>'Indirect - Villes'!N38+'Indirect - Villes'!V38</f>
        <v>205.07127188336617</v>
      </c>
      <c r="E28" s="54">
        <f>'Caché - Accident'!$E$7+'Caché - Emprise spatiale'!O42</f>
        <v>890.09590334677932</v>
      </c>
      <c r="F28" s="54">
        <f>-'Caché - Santé'!E50</f>
        <v>-826.24116816643357</v>
      </c>
      <c r="G28" s="20">
        <f t="shared" si="1"/>
        <v>2203.5055354627348</v>
      </c>
      <c r="H28" s="20">
        <f t="shared" si="2"/>
        <v>268.92600706371184</v>
      </c>
      <c r="I28" s="20">
        <f t="shared" si="3"/>
        <v>0.12204462513738934</v>
      </c>
      <c r="J28" s="20">
        <f>G28/('Clés de répartition'!I118*2*'Privé - Temps'!$B$11)</f>
        <v>3.6077313090574354</v>
      </c>
      <c r="K28" s="20">
        <f>H28/('Clés de répartition'!I118*2*'Privé - Temps'!$B$11)</f>
        <v>0.44030421521033763</v>
      </c>
      <c r="L28" s="366">
        <f t="shared" si="4"/>
        <v>-9.0097087632340198</v>
      </c>
      <c r="M28" s="21" t="s">
        <v>632</v>
      </c>
      <c r="O28" s="53"/>
      <c r="P28" s="16"/>
      <c r="Q28" s="292"/>
      <c r="R28" s="292"/>
    </row>
    <row r="29" spans="1:18">
      <c r="A29" s="63" t="e" vm="25">
        <v>#VALUE!</v>
      </c>
      <c r="B29" s="54">
        <f>'Privé - Contravention'!$E$8+'Caché - Accident'!$E$6</f>
        <v>217.42167565007125</v>
      </c>
      <c r="C29" s="282">
        <f>'Privé - Temps'!E45</f>
        <v>2091.1657643539015</v>
      </c>
      <c r="D29" s="54">
        <f>'Indirect - Villes'!N39+'Indirect - Villes'!V39</f>
        <v>204.75833612156114</v>
      </c>
      <c r="E29" s="54">
        <f>'Caché - Accident'!$E$7+'Caché - Emprise spatiale'!O43</f>
        <v>99.434530138235274</v>
      </c>
      <c r="F29" s="54">
        <f>-'Caché - Santé'!E51</f>
        <v>-875.81588785861447</v>
      </c>
      <c r="G29" s="20">
        <f t="shared" si="1"/>
        <v>2308.5874400039729</v>
      </c>
      <c r="H29" s="20">
        <f t="shared" si="2"/>
        <v>-571.62302159881801</v>
      </c>
      <c r="I29" s="20">
        <f t="shared" si="3"/>
        <v>-0.24760726481204207</v>
      </c>
      <c r="J29" s="20">
        <f>G29/('Clés de répartition'!I119*2*'Privé - Temps'!$B$11)</f>
        <v>3.5658279026653026</v>
      </c>
      <c r="K29" s="20">
        <f>H29/('Clés de répartition'!I119*2*'Privé - Temps'!$B$11)</f>
        <v>-0.88292489376941607</v>
      </c>
      <c r="L29" s="366">
        <f t="shared" si="4"/>
        <v>18.066818072299494</v>
      </c>
      <c r="M29" s="21"/>
      <c r="N29" s="53"/>
      <c r="O29" s="53"/>
      <c r="P29" s="16"/>
      <c r="Q29" s="292"/>
      <c r="R29" s="292"/>
    </row>
    <row r="30" spans="1:18">
      <c r="A30" s="63" t="e" vm="26">
        <v>#VALUE!</v>
      </c>
      <c r="B30" s="54">
        <f>'Privé - Contravention'!$E$8+'Caché - Accident'!$E$6</f>
        <v>217.42167565007125</v>
      </c>
      <c r="C30" s="282">
        <f>'Privé - Temps'!E46</f>
        <v>2363.421534214825</v>
      </c>
      <c r="D30" s="54">
        <f>'Indirect - Villes'!N40+'Indirect - Villes'!V40</f>
        <v>206.58614870704966</v>
      </c>
      <c r="E30" s="54">
        <f>'Caché - Accident'!$E$7+'Caché - Emprise spatiale'!O44</f>
        <v>895.63984694817304</v>
      </c>
      <c r="F30" s="54">
        <f>-'Caché - Santé'!E52</f>
        <v>-979.02077799206427</v>
      </c>
      <c r="G30" s="20">
        <f t="shared" si="1"/>
        <v>2580.8432098648964</v>
      </c>
      <c r="H30" s="20">
        <f t="shared" si="2"/>
        <v>123.20521766315846</v>
      </c>
      <c r="I30" s="20">
        <f t="shared" si="3"/>
        <v>4.7738358220377163E-2</v>
      </c>
      <c r="J30" s="20">
        <f>G30/('Clés de répartition'!I120*2*'Privé - Temps'!$B$11)</f>
        <v>3.5661251645459697</v>
      </c>
      <c r="K30" s="20">
        <f>H30/('Clés de répartition'!I120*2*'Privé - Temps'!$B$11)</f>
        <v>0.17024096056379695</v>
      </c>
      <c r="L30" s="366">
        <f t="shared" si="4"/>
        <v>-3.4835493762427348</v>
      </c>
      <c r="M30" s="21" t="s">
        <v>632</v>
      </c>
      <c r="O30" s="53"/>
      <c r="P30" s="16"/>
      <c r="Q30" s="292"/>
      <c r="R30" s="292"/>
    </row>
    <row r="31" spans="1:18">
      <c r="A31" s="63" t="e" vm="27">
        <v>#VALUE!</v>
      </c>
      <c r="B31" s="54">
        <f>'Privé - Contravention'!$E$8+'Caché - Accident'!$E$6</f>
        <v>217.42167565007125</v>
      </c>
      <c r="C31" s="282">
        <f>'Privé - Temps'!E47</f>
        <v>1635.3382800092918</v>
      </c>
      <c r="D31" s="54">
        <f>'Indirect - Villes'!N41+'Indirect - Villes'!V41</f>
        <v>212.57342638993453</v>
      </c>
      <c r="E31" s="54">
        <f>'Caché - Accident'!$E$7+'Caché - Emprise spatiale'!O45</f>
        <v>200.19858529435288</v>
      </c>
      <c r="F31" s="54">
        <f>-'Caché - Santé'!E53</f>
        <v>-694.05912401268768</v>
      </c>
      <c r="G31" s="20">
        <f t="shared" si="1"/>
        <v>1852.759955659363</v>
      </c>
      <c r="H31" s="20">
        <f t="shared" si="2"/>
        <v>-281.28711232840027</v>
      </c>
      <c r="I31" s="20">
        <f t="shared" si="3"/>
        <v>-0.15182059147446081</v>
      </c>
      <c r="J31" s="20">
        <f>G31/('Clés de répartition'!I121*2*'Privé - Temps'!$B$11)</f>
        <v>3.6111835019124112</v>
      </c>
      <c r="K31" s="20">
        <f>H31/('Clés de répartition'!I121*2*'Privé - Temps'!$B$11)</f>
        <v>-0.54825201518315692</v>
      </c>
      <c r="L31" s="366">
        <f t="shared" si="4"/>
        <v>11.21858663855105</v>
      </c>
      <c r="M31" s="21"/>
      <c r="O31" s="53"/>
      <c r="P31" s="16"/>
      <c r="Q31" s="292"/>
      <c r="R31" s="292"/>
    </row>
    <row r="32" spans="1:18">
      <c r="A32" s="63" t="e" vm="28">
        <v>#VALUE!</v>
      </c>
      <c r="B32" s="54">
        <f>'Privé - Contravention'!$E$8+'Caché - Accident'!$E$6</f>
        <v>217.42167565007125</v>
      </c>
      <c r="C32" s="282">
        <f>'Privé - Temps'!E48</f>
        <v>1924.0438288494497</v>
      </c>
      <c r="D32" s="54">
        <f>'Indirect - Villes'!N42+'Indirect - Villes'!V42</f>
        <v>209.64537921138978</v>
      </c>
      <c r="E32" s="54">
        <f>'Caché - Accident'!$E$7+'Caché - Emprise spatiale'!O46</f>
        <v>675.17816838522344</v>
      </c>
      <c r="F32" s="54">
        <f>-'Caché - Santé'!E54</f>
        <v>-800.66507731012746</v>
      </c>
      <c r="G32" s="20">
        <f t="shared" si="1"/>
        <v>2141.4655044995211</v>
      </c>
      <c r="H32" s="20">
        <f t="shared" si="2"/>
        <v>84.158470286485795</v>
      </c>
      <c r="I32" s="20">
        <f t="shared" si="3"/>
        <v>3.9299475106956881E-2</v>
      </c>
      <c r="J32" s="20">
        <f>G32/('Clés de répartition'!I122*2*'Privé - Temps'!$B$11)</f>
        <v>3.6181541558338375</v>
      </c>
      <c r="K32" s="20">
        <f>H32/('Clés de répartition'!I122*2*'Privé - Temps'!$B$11)</f>
        <v>0.1421915591803245</v>
      </c>
      <c r="L32" s="366">
        <f t="shared" si="4"/>
        <v>-2.9095895350283718</v>
      </c>
      <c r="O32" s="53"/>
      <c r="P32" s="16"/>
      <c r="Q32" s="292"/>
      <c r="R32" s="292"/>
    </row>
    <row r="33" spans="1:18">
      <c r="A33" s="63" t="e" vm="29">
        <v>#VALUE!</v>
      </c>
      <c r="B33" s="54">
        <f>'Privé - Contravention'!$E$8+'Caché - Accident'!$E$6</f>
        <v>217.42167565007125</v>
      </c>
      <c r="C33" s="282">
        <f>'Privé - Temps'!E49</f>
        <v>1907.6125166202185</v>
      </c>
      <c r="D33" s="54">
        <f>'Indirect - Villes'!N43+'Indirect - Villes'!V43</f>
        <v>203.62171023547566</v>
      </c>
      <c r="E33" s="54">
        <f>'Caché - Accident'!$E$7+'Caché - Emprise spatiale'!O47</f>
        <v>244.91593155693482</v>
      </c>
      <c r="F33" s="54">
        <f>-'Caché - Santé'!E55</f>
        <v>-785.38392743955524</v>
      </c>
      <c r="G33" s="20">
        <f t="shared" si="1"/>
        <v>2125.0341922702896</v>
      </c>
      <c r="H33" s="20">
        <f t="shared" si="2"/>
        <v>-336.84628564714478</v>
      </c>
      <c r="I33" s="20">
        <f t="shared" si="3"/>
        <v>-0.15851334857218161</v>
      </c>
      <c r="J33" s="20">
        <f>G33/('Clés de répartition'!I123*2*'Privé - Temps'!$B$11)</f>
        <v>3.6602502820217953</v>
      </c>
      <c r="K33" s="20">
        <f>H33/('Clés de répartition'!I123*2*'Privé - Temps'!$B$11)</f>
        <v>-0.58019852881554679</v>
      </c>
      <c r="L33" s="366">
        <f t="shared" si="4"/>
        <v>11.872290995414906</v>
      </c>
      <c r="M33" s="21"/>
      <c r="O33" s="53"/>
      <c r="P33" s="16"/>
      <c r="Q33" s="292"/>
      <c r="R33" s="292"/>
    </row>
    <row r="34" spans="1:18">
      <c r="A34" s="63" t="e" vm="30">
        <v>#VALUE!</v>
      </c>
      <c r="B34" s="54">
        <f>'Privé - Contravention'!$E$8+'Caché - Accident'!$E$6</f>
        <v>217.42167565007125</v>
      </c>
      <c r="C34" s="282">
        <f>'Privé - Temps'!E50</f>
        <v>1524.4194583444748</v>
      </c>
      <c r="D34" s="54">
        <f>'Indirect - Villes'!N44+'Indirect - Villes'!V44</f>
        <v>215.88208002971368</v>
      </c>
      <c r="E34" s="54">
        <f>'Caché - Accident'!$E$7+'Caché - Emprise spatiale'!O48</f>
        <v>341.64082432011304</v>
      </c>
      <c r="F34" s="54">
        <f>-'Caché - Santé'!E56</f>
        <v>-642.05304967022619</v>
      </c>
      <c r="G34" s="20">
        <f t="shared" si="1"/>
        <v>1741.841133994546</v>
      </c>
      <c r="H34" s="20">
        <f t="shared" si="2"/>
        <v>-84.53014532039947</v>
      </c>
      <c r="I34" s="20">
        <f t="shared" si="3"/>
        <v>-4.8529193432553387E-2</v>
      </c>
      <c r="J34" s="20">
        <f>G34/('Clés de répartition'!I124*2*'Privé - Temps'!$B$11)</f>
        <v>3.6699867724030417</v>
      </c>
      <c r="K34" s="20">
        <f>H34/('Clés de répartition'!I124*2*'Privé - Temps'!$B$11)</f>
        <v>-0.17810149797285948</v>
      </c>
      <c r="L34" s="366">
        <f t="shared" si="4"/>
        <v>3.6443953330417802</v>
      </c>
      <c r="M34" s="21"/>
      <c r="O34" s="53"/>
      <c r="P34" s="16"/>
      <c r="Q34" s="292"/>
      <c r="R34" s="292"/>
    </row>
    <row r="35" spans="1:18">
      <c r="A35" s="63" t="e" vm="31">
        <v>#VALUE!</v>
      </c>
      <c r="B35" s="54">
        <f>'Privé - Contravention'!$E$8+'Caché - Accident'!$E$6</f>
        <v>217.42167565007125</v>
      </c>
      <c r="C35" s="282">
        <f>'Privé - Temps'!E51</f>
        <v>2061.9351968839046</v>
      </c>
      <c r="D35" s="54">
        <f>'Indirect - Villes'!N45+'Indirect - Villes'!V45</f>
        <v>202.68094708411149</v>
      </c>
      <c r="E35" s="54">
        <f>'Caché - Accident'!$E$7+'Caché - Emprise spatiale'!O49</f>
        <v>394.9744431273362</v>
      </c>
      <c r="F35" s="54">
        <f>-'Caché - Santé'!E57</f>
        <v>-832.69313122353628</v>
      </c>
      <c r="G35" s="20">
        <f t="shared" si="1"/>
        <v>2279.356872533976</v>
      </c>
      <c r="H35" s="20">
        <f t="shared" si="2"/>
        <v>-235.03774101208865</v>
      </c>
      <c r="I35" s="20">
        <f t="shared" si="3"/>
        <v>-0.10311581474769049</v>
      </c>
      <c r="J35" s="20">
        <f>G35/('Clés de répartition'!I125*2*'Privé - Temps'!$B$11)</f>
        <v>3.7030042827620866</v>
      </c>
      <c r="K35" s="20">
        <f>H35/('Clés de répartition'!I125*2*'Privé - Temps'!$B$11)</f>
        <v>-0.3818383036311998</v>
      </c>
      <c r="L35" s="366">
        <f t="shared" si="4"/>
        <v>7.8133522040459944</v>
      </c>
      <c r="M35" s="21"/>
      <c r="O35" s="53"/>
      <c r="P35" s="16"/>
      <c r="Q35" s="292"/>
      <c r="R35" s="292"/>
    </row>
    <row r="36" spans="1:18">
      <c r="A36" s="63" t="e" vm="32">
        <v>#VALUE!</v>
      </c>
      <c r="B36" s="54">
        <f>'Privé - Contravention'!$E$8+'Caché - Accident'!$E$6</f>
        <v>217.42167565007125</v>
      </c>
      <c r="C36" s="282">
        <f>'Privé - Temps'!E52</f>
        <v>1654.6828406103918</v>
      </c>
      <c r="D36" s="54">
        <f>'Indirect - Villes'!N46+'Indirect - Villes'!V46</f>
        <v>207.96140839520393</v>
      </c>
      <c r="E36" s="54">
        <f>'Caché - Accident'!$E$7+'Caché - Emprise spatiale'!O50</f>
        <v>391.42688510971089</v>
      </c>
      <c r="F36" s="54">
        <f>-'Caché - Santé'!E58</f>
        <v>-694.98093017923986</v>
      </c>
      <c r="G36" s="20">
        <f t="shared" si="1"/>
        <v>1872.104516260463</v>
      </c>
      <c r="H36" s="20">
        <f t="shared" si="2"/>
        <v>-95.592636674325036</v>
      </c>
      <c r="I36" s="20">
        <f t="shared" si="3"/>
        <v>-5.1061591831032892E-2</v>
      </c>
      <c r="J36" s="20">
        <f>G36/('Clés de répartition'!I126*2*'Privé - Temps'!$B$11)</f>
        <v>3.6440478643077463</v>
      </c>
      <c r="K36" s="20">
        <f>H36/('Clés de répartition'!I126*2*'Privé - Temps'!$B$11)</f>
        <v>-0.18607088466002925</v>
      </c>
      <c r="L36" s="366">
        <f t="shared" si="4"/>
        <v>3.8074686141792173</v>
      </c>
      <c r="M36" s="21"/>
      <c r="O36" s="53"/>
      <c r="P36" s="16"/>
      <c r="Q36" s="292"/>
      <c r="R36" s="292"/>
    </row>
    <row r="37" spans="1:18">
      <c r="A37" s="63" t="e" vm="33">
        <v>#VALUE!</v>
      </c>
      <c r="B37" s="54">
        <f>'Privé - Contravention'!$E$8+'Caché - Accident'!$E$6</f>
        <v>217.42167565007125</v>
      </c>
      <c r="C37" s="282">
        <f>'Privé - Temps'!E53</f>
        <v>1864.7253440256234</v>
      </c>
      <c r="D37" s="54">
        <f>'Indirect - Villes'!N47+'Indirect - Villes'!V47</f>
        <v>214.73296897962689</v>
      </c>
      <c r="E37" s="54">
        <f>'Caché - Accident'!$E$7+'Caché - Emprise spatiale'!O51</f>
        <v>849.05594078584397</v>
      </c>
      <c r="F37" s="54">
        <f>-'Caché - Santé'!E59</f>
        <v>-759.26650130462315</v>
      </c>
      <c r="G37" s="20">
        <f t="shared" si="1"/>
        <v>2082.1470196756945</v>
      </c>
      <c r="H37" s="20">
        <f t="shared" si="2"/>
        <v>304.52240846084771</v>
      </c>
      <c r="I37" s="20">
        <f t="shared" si="3"/>
        <v>0.14625403757909405</v>
      </c>
      <c r="J37" s="20">
        <f>G37/('Clés de répartition'!I127*2*'Privé - Temps'!$B$11)</f>
        <v>3.7097446922049251</v>
      </c>
      <c r="K37" s="20">
        <f>H37/('Clés de répartition'!I127*2*'Privé - Temps'!$B$11)</f>
        <v>0.54256513962258379</v>
      </c>
      <c r="L37" s="366">
        <f t="shared" si="4"/>
        <v>-11.102219157151762</v>
      </c>
      <c r="M37" t="s">
        <v>632</v>
      </c>
    </row>
    <row r="38" spans="1:18">
      <c r="A38" s="63" t="e" vm="34">
        <v>#VALUE!</v>
      </c>
      <c r="B38" s="54">
        <f>'Privé - Contravention'!$E$8+'Caché - Accident'!$E$6</f>
        <v>217.42167565007125</v>
      </c>
      <c r="C38" s="282">
        <f>'Privé - Temps'!E54</f>
        <v>1471.6876161452267</v>
      </c>
      <c r="D38" s="54">
        <f>'Indirect - Villes'!N48+'Indirect - Villes'!V48</f>
        <v>204.29239258829918</v>
      </c>
      <c r="E38" s="54">
        <f>'Caché - Accident'!$E$7+'Caché - Emprise spatiale'!O52</f>
        <v>351.40057510612939</v>
      </c>
      <c r="F38" s="54">
        <f>-'Caché - Santé'!E60</f>
        <v>-613.9096057322804</v>
      </c>
      <c r="G38" s="20">
        <f t="shared" si="1"/>
        <v>1689.1092917952978</v>
      </c>
      <c r="H38" s="20">
        <f t="shared" si="2"/>
        <v>-58.216638037851794</v>
      </c>
      <c r="I38" s="20">
        <f t="shared" si="3"/>
        <v>-3.4465879928927079E-2</v>
      </c>
      <c r="J38" s="20">
        <f>G38/('Clés de répartition'!I128*2*'Privé - Temps'!$B$11)</f>
        <v>3.7220327660446695</v>
      </c>
      <c r="K38" s="20">
        <f>H38/('Clés de répartition'!I128*2*'Privé - Temps'!$B$11)</f>
        <v>-0.12828313440602793</v>
      </c>
      <c r="L38" s="366">
        <f t="shared" si="4"/>
        <v>2.6249889060929918</v>
      </c>
      <c r="M38" s="21"/>
      <c r="N38" s="21"/>
      <c r="O38" s="53"/>
      <c r="P38" s="16"/>
    </row>
  </sheetData>
  <hyperlinks>
    <hyperlink ref="A1" location="'Table des matières'!A1" display="Retour à la Table des matières" xr:uid="{16035112-F53A-8348-B0F4-5E81E433A5E0}"/>
  </hyperlinks>
  <pageMargins left="0.7" right="0.7" top="0.75" bottom="0.75" header="0.3" footer="0.3"/>
  <pageSetup orientation="portrait" horizontalDpi="0" verticalDpi="0"/>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6B764C-0232-1240-A0C3-497263CEA68A}">
  <sheetPr codeName="Sheet30">
    <tabColor theme="7"/>
  </sheetPr>
  <dimension ref="A1:Q36"/>
  <sheetViews>
    <sheetView topLeftCell="A13" zoomScaleNormal="100" workbookViewId="0">
      <selection activeCell="C39" sqref="C39"/>
    </sheetView>
  </sheetViews>
  <sheetFormatPr baseColWidth="10" defaultRowHeight="16"/>
  <cols>
    <col min="1" max="1" width="34" customWidth="1"/>
    <col min="2" max="2" width="10.33203125" bestFit="1" customWidth="1"/>
    <col min="3" max="3" width="14" customWidth="1"/>
    <col min="4" max="4" width="13" customWidth="1"/>
    <col min="5" max="5" width="14.1640625" customWidth="1"/>
    <col min="6" max="6" width="11.5" bestFit="1" customWidth="1"/>
    <col min="7" max="9" width="13.83203125" customWidth="1"/>
    <col min="10" max="10" width="15.1640625" customWidth="1"/>
    <col min="11" max="11" width="13.83203125" customWidth="1"/>
    <col min="12" max="12" width="26" customWidth="1"/>
    <col min="13" max="13" width="18.83203125" customWidth="1"/>
    <col min="14" max="14" width="13.5" customWidth="1"/>
  </cols>
  <sheetData>
    <row r="1" spans="1:17" s="114" customFormat="1" ht="34">
      <c r="A1" s="283" t="s">
        <v>855</v>
      </c>
      <c r="B1" s="283" t="s">
        <v>877</v>
      </c>
      <c r="C1" s="283" t="s">
        <v>878</v>
      </c>
      <c r="D1" s="283" t="s">
        <v>879</v>
      </c>
      <c r="E1" s="138" t="s">
        <v>880</v>
      </c>
      <c r="F1" s="114" t="s">
        <v>881</v>
      </c>
      <c r="G1" s="404" t="s">
        <v>882</v>
      </c>
      <c r="K1" s="138"/>
      <c r="L1" s="138"/>
      <c r="M1" s="138"/>
      <c r="N1" s="138"/>
      <c r="O1" s="138"/>
    </row>
    <row r="2" spans="1:17">
      <c r="A2" s="502" t="s">
        <v>202</v>
      </c>
      <c r="B2">
        <f>'Clés de répartition'!I93</f>
        <v>1.1360508569755141</v>
      </c>
      <c r="C2">
        <f>'Clés de répartition'!E93</f>
        <v>15.951952585102337</v>
      </c>
      <c r="D2">
        <f>'Privé - Contravention'!$E$8+'Caché - Accident'!$E$6</f>
        <v>217.42167565007125</v>
      </c>
      <c r="E2">
        <f>'Indirect - Villes'!N13+'Indirect - Villes'!V13</f>
        <v>209.92313869282276</v>
      </c>
      <c r="F2">
        <f>'Caché - Accident'!$E$7</f>
        <v>28.7420362406652</v>
      </c>
      <c r="G2">
        <f>'Caché - Emprise spatiale'!O17</f>
        <v>501.98833941476369</v>
      </c>
      <c r="H2" s="54"/>
      <c r="I2" s="54"/>
      <c r="J2" s="54"/>
      <c r="K2" s="366"/>
      <c r="L2" s="20"/>
      <c r="M2" s="21"/>
      <c r="N2" s="53"/>
      <c r="O2" s="16"/>
    </row>
    <row r="3" spans="1:17">
      <c r="A3" s="502" t="s">
        <v>71</v>
      </c>
      <c r="B3">
        <f>'Clés de répartition'!I94</f>
        <v>1.03853874131025</v>
      </c>
      <c r="C3">
        <f>'Clés de répartition'!E94</f>
        <v>14.3176879517518</v>
      </c>
      <c r="D3">
        <f>'Privé - Contravention'!$E$8+'Caché - Accident'!$E$6</f>
        <v>217.42167565007125</v>
      </c>
      <c r="E3">
        <f>'Indirect - Villes'!N14+'Indirect - Villes'!V14</f>
        <v>143.15591623203866</v>
      </c>
      <c r="F3">
        <f>'Caché - Accident'!$E$7</f>
        <v>28.7420362406652</v>
      </c>
      <c r="G3">
        <f>'Caché - Emprise spatiale'!O18</f>
        <v>163.8941203007293</v>
      </c>
      <c r="H3" s="54"/>
      <c r="I3" s="54"/>
      <c r="J3" s="54"/>
      <c r="K3" s="366"/>
      <c r="L3" s="21"/>
      <c r="N3" s="53"/>
      <c r="O3" s="16"/>
      <c r="P3" s="292"/>
      <c r="Q3" s="292"/>
    </row>
    <row r="4" spans="1:17">
      <c r="A4" s="502" t="s">
        <v>72</v>
      </c>
      <c r="B4">
        <f>'Clés de répartition'!I95</f>
        <v>0.90744911216977098</v>
      </c>
      <c r="C4">
        <f>'Clés de répartition'!E95</f>
        <v>12.228569366247999</v>
      </c>
      <c r="D4">
        <f>'Privé - Contravention'!$E$8+'Caché - Accident'!$E$6</f>
        <v>217.42167565007125</v>
      </c>
      <c r="E4">
        <f>'Indirect - Villes'!N15+'Indirect - Villes'!V15</f>
        <v>38.857862904606677</v>
      </c>
      <c r="F4">
        <f>'Caché - Accident'!$E$7</f>
        <v>28.7420362406652</v>
      </c>
      <c r="G4">
        <f>'Caché - Emprise spatiale'!O19</f>
        <v>134.95237465165604</v>
      </c>
      <c r="H4" s="54"/>
      <c r="I4" s="54"/>
      <c r="J4" s="54"/>
      <c r="K4" s="366"/>
      <c r="L4" s="21"/>
      <c r="N4" s="53"/>
      <c r="O4" s="16"/>
      <c r="P4" s="292"/>
      <c r="Q4" s="292"/>
    </row>
    <row r="5" spans="1:17">
      <c r="A5" s="502" t="s">
        <v>73</v>
      </c>
      <c r="B5">
        <f>'Clés de répartition'!I96</f>
        <v>1.01404031646256</v>
      </c>
      <c r="C5">
        <f>'Clés de répartition'!E96</f>
        <v>14.113383277338199</v>
      </c>
      <c r="D5">
        <f>'Privé - Contravention'!$E$8+'Caché - Accident'!$E$6</f>
        <v>217.42167565007125</v>
      </c>
      <c r="E5">
        <f>'Indirect - Villes'!N16+'Indirect - Villes'!V16</f>
        <v>143.10566295909234</v>
      </c>
      <c r="F5">
        <f>'Caché - Accident'!$E$7</f>
        <v>28.7420362406652</v>
      </c>
      <c r="G5">
        <f>'Caché - Emprise spatiale'!O20</f>
        <v>255.6113057710283</v>
      </c>
      <c r="H5" s="54"/>
      <c r="I5" s="54"/>
      <c r="J5" s="54"/>
      <c r="K5" s="366"/>
      <c r="L5" s="21"/>
      <c r="M5" s="54"/>
      <c r="N5" s="53"/>
      <c r="O5" s="16"/>
      <c r="P5" s="292"/>
      <c r="Q5" s="292"/>
    </row>
    <row r="6" spans="1:17">
      <c r="A6" s="502" t="s">
        <v>74</v>
      </c>
      <c r="B6">
        <f>'Clés de répartition'!I97</f>
        <v>1.1932602625794599</v>
      </c>
      <c r="C6">
        <f>'Clés de répartition'!E97</f>
        <v>16.347500445553401</v>
      </c>
      <c r="D6">
        <f>'Privé - Contravention'!$E$8+'Caché - Accident'!$E$6</f>
        <v>217.42167565007125</v>
      </c>
      <c r="E6">
        <f>'Indirect - Villes'!N17+'Indirect - Villes'!V17</f>
        <v>46.702581130106466</v>
      </c>
      <c r="F6">
        <f>'Caché - Accident'!$E$7</f>
        <v>28.7420362406652</v>
      </c>
      <c r="G6">
        <f>'Caché - Emprise spatiale'!O21</f>
        <v>142.41751492068019</v>
      </c>
      <c r="H6" s="54"/>
      <c r="I6" s="54"/>
      <c r="J6" s="54"/>
      <c r="K6" s="366"/>
      <c r="L6" s="21"/>
      <c r="M6" s="54"/>
      <c r="N6" s="53"/>
      <c r="O6" s="16"/>
      <c r="P6" s="292"/>
      <c r="Q6" s="292"/>
    </row>
    <row r="7" spans="1:17">
      <c r="A7" s="502" t="s">
        <v>86</v>
      </c>
      <c r="B7">
        <f>'Clés de répartition'!I98</f>
        <v>1.6402403628117901</v>
      </c>
      <c r="C7">
        <f>'Clés de répartition'!E98</f>
        <v>22.6647437641723</v>
      </c>
      <c r="D7">
        <f>'Privé - Contravention'!$E$8+'Caché - Accident'!$E$6</f>
        <v>217.42167565007125</v>
      </c>
      <c r="E7">
        <f>'Indirect - Villes'!N18+'Indirect - Villes'!V18</f>
        <v>204.50564074525406</v>
      </c>
      <c r="F7">
        <f>'Caché - Accident'!$E$7</f>
        <v>28.7420362406652</v>
      </c>
      <c r="G7">
        <f>'Caché - Emprise spatiale'!O22</f>
        <v>209.52001254164571</v>
      </c>
      <c r="H7" s="54"/>
      <c r="I7" s="54"/>
      <c r="J7" s="54"/>
      <c r="K7" s="366"/>
      <c r="L7" s="21"/>
      <c r="N7" s="53"/>
      <c r="O7" s="16"/>
      <c r="P7" s="292"/>
      <c r="Q7" s="292"/>
    </row>
    <row r="8" spans="1:17">
      <c r="A8" s="502" t="s">
        <v>76</v>
      </c>
      <c r="B8">
        <f>'Clés de répartition'!I99</f>
        <v>1.0355588306549299</v>
      </c>
      <c r="C8">
        <f>'Clés de répartition'!E99</f>
        <v>14.8265434466607</v>
      </c>
      <c r="D8">
        <f>'Privé - Contravention'!$E$8+'Caché - Accident'!$E$6</f>
        <v>217.42167565007125</v>
      </c>
      <c r="E8">
        <f>'Indirect - Villes'!N19+'Indirect - Villes'!V19</f>
        <v>342.14267336788782</v>
      </c>
      <c r="F8">
        <f>'Caché - Accident'!$E$7</f>
        <v>28.7420362406652</v>
      </c>
      <c r="G8">
        <f>'Caché - Emprise spatiale'!O23</f>
        <v>1459.9744454376917</v>
      </c>
      <c r="H8" s="54"/>
      <c r="I8" s="54"/>
      <c r="J8" s="54"/>
      <c r="K8" s="366"/>
      <c r="M8" s="54"/>
      <c r="N8" s="53"/>
      <c r="O8" s="16"/>
      <c r="P8" s="292"/>
      <c r="Q8" s="292"/>
    </row>
    <row r="9" spans="1:17">
      <c r="A9" s="502" t="s">
        <v>77</v>
      </c>
      <c r="B9">
        <f>'Clés de répartition'!I100</f>
        <v>1.5338891989952601</v>
      </c>
      <c r="C9">
        <f>'Clés de répartition'!E100</f>
        <v>20.429919062238302</v>
      </c>
      <c r="D9">
        <f>'Privé - Contravention'!$E$8+'Caché - Accident'!$E$6</f>
        <v>217.42167565007125</v>
      </c>
      <c r="E9">
        <f>'Indirect - Villes'!N20+'Indirect - Villes'!V20</f>
        <v>82.151707141109227</v>
      </c>
      <c r="F9">
        <f>'Caché - Accident'!$E$7</f>
        <v>28.7420362406652</v>
      </c>
      <c r="G9">
        <f>'Caché - Emprise spatiale'!O24</f>
        <v>161.95760470257443</v>
      </c>
      <c r="H9" s="54"/>
      <c r="I9" s="54"/>
      <c r="J9" s="54"/>
      <c r="K9" s="366"/>
      <c r="L9" s="21"/>
      <c r="N9" s="53"/>
      <c r="O9" s="16"/>
      <c r="P9" s="292"/>
      <c r="Q9" s="292"/>
    </row>
    <row r="10" spans="1:17">
      <c r="A10" s="502" t="s">
        <v>79</v>
      </c>
      <c r="B10">
        <f>'Clés de répartition'!I101</f>
        <v>1.1296435460103258</v>
      </c>
      <c r="C10">
        <f>'Clés de répartition'!E101</f>
        <v>15.872287824809209</v>
      </c>
      <c r="D10">
        <f>'Privé - Contravention'!$E$8+'Caché - Accident'!$E$6</f>
        <v>217.42167565007125</v>
      </c>
      <c r="E10">
        <f>'Indirect - Villes'!N21+'Indirect - Villes'!V21</f>
        <v>208.62596729944681</v>
      </c>
      <c r="F10">
        <f>'Caché - Accident'!$E$7</f>
        <v>28.7420362406652</v>
      </c>
      <c r="G10">
        <f>'Caché - Emprise spatiale'!O25</f>
        <v>489.71842649631145</v>
      </c>
      <c r="H10" s="54"/>
      <c r="I10" s="54"/>
      <c r="J10" s="54"/>
      <c r="K10" s="366"/>
      <c r="L10" s="21"/>
      <c r="M10" s="53"/>
      <c r="N10" s="53"/>
      <c r="O10" s="16"/>
      <c r="P10" s="292"/>
      <c r="Q10" s="292"/>
    </row>
    <row r="11" spans="1:17">
      <c r="A11" s="502" t="s">
        <v>80</v>
      </c>
      <c r="B11">
        <f>'Clés de répartition'!I102</f>
        <v>0.94787110902549698</v>
      </c>
      <c r="C11">
        <f>'Clés de répartition'!E102</f>
        <v>12.8839126127535</v>
      </c>
      <c r="D11">
        <f>'Privé - Contravention'!$E$8+'Caché - Accident'!$E$6</f>
        <v>217.42167565007125</v>
      </c>
      <c r="E11">
        <f>'Indirect - Villes'!N22+'Indirect - Villes'!V22</f>
        <v>437.02336260901444</v>
      </c>
      <c r="F11">
        <f>'Caché - Accident'!$E$7</f>
        <v>28.7420362406652</v>
      </c>
      <c r="G11">
        <f>'Caché - Emprise spatiale'!O26</f>
        <v>146.23581901485565</v>
      </c>
      <c r="H11" s="54"/>
      <c r="I11" s="54"/>
      <c r="J11" s="54"/>
      <c r="K11" s="366"/>
      <c r="L11" s="21"/>
      <c r="N11" s="53"/>
      <c r="O11" s="16"/>
      <c r="P11" s="292"/>
      <c r="Q11" s="292"/>
    </row>
    <row r="12" spans="1:17">
      <c r="A12" s="502" t="s">
        <v>81</v>
      </c>
      <c r="B12">
        <f>'Clés de répartition'!I103</f>
        <v>1.1408710674668101</v>
      </c>
      <c r="C12">
        <f>'Clés de répartition'!E103</f>
        <v>15.8323695217312</v>
      </c>
      <c r="D12">
        <f>'Privé - Contravention'!$E$8+'Caché - Accident'!$E$6</f>
        <v>217.42167565007125</v>
      </c>
      <c r="E12">
        <f>'Indirect - Villes'!N23+'Indirect - Villes'!V23</f>
        <v>441.08579582372101</v>
      </c>
      <c r="F12">
        <f>'Caché - Accident'!$E$7</f>
        <v>28.7420362406652</v>
      </c>
      <c r="G12">
        <f>'Caché - Emprise spatiale'!O27</f>
        <v>982.62109390493492</v>
      </c>
      <c r="H12" s="54"/>
      <c r="I12" s="54" t="s">
        <v>876</v>
      </c>
      <c r="J12" s="54"/>
      <c r="K12" s="366"/>
      <c r="N12" s="53"/>
      <c r="O12" s="16"/>
      <c r="P12" s="292"/>
      <c r="Q12" s="292"/>
    </row>
    <row r="13" spans="1:17">
      <c r="A13" s="502" t="s">
        <v>78</v>
      </c>
      <c r="B13">
        <f>'Clés de répartition'!I104</f>
        <v>1.4629062378334901</v>
      </c>
      <c r="C13">
        <f>'Clés de répartition'!E104</f>
        <v>20.7625010723029</v>
      </c>
      <c r="D13">
        <f>'Privé - Contravention'!$E$8+'Caché - Accident'!$E$6</f>
        <v>217.42167565007125</v>
      </c>
      <c r="E13">
        <f>'Indirect - Villes'!N24+'Indirect - Villes'!V24</f>
        <v>258.75742935852833</v>
      </c>
      <c r="F13">
        <f>'Caché - Accident'!$E$7</f>
        <v>28.7420362406652</v>
      </c>
      <c r="G13">
        <f>'Caché - Emprise spatiale'!O28</f>
        <v>1381.2031757892851</v>
      </c>
      <c r="H13" s="54"/>
      <c r="I13" s="54"/>
      <c r="J13" s="54"/>
      <c r="K13" s="366"/>
      <c r="N13" s="53"/>
      <c r="O13" s="16"/>
      <c r="P13" s="292"/>
      <c r="Q13" s="292"/>
    </row>
    <row r="14" spans="1:17">
      <c r="A14" s="502" t="s">
        <v>82</v>
      </c>
      <c r="B14">
        <f>'Clés de répartition'!I105</f>
        <v>1.1778853688029001</v>
      </c>
      <c r="C14">
        <f>'Clés de répartition'!E105</f>
        <v>15.908136396614299</v>
      </c>
      <c r="D14">
        <f>'Privé - Contravention'!$E$8+'Caché - Accident'!$E$6</f>
        <v>217.42167565007125</v>
      </c>
      <c r="E14">
        <f>'Indirect - Villes'!N25+'Indirect - Villes'!V25</f>
        <v>179.19056841851543</v>
      </c>
      <c r="F14">
        <f>'Caché - Accident'!$E$7</f>
        <v>28.7420362406652</v>
      </c>
      <c r="G14">
        <f>'Caché - Emprise spatiale'!O29</f>
        <v>276.09681833234686</v>
      </c>
      <c r="H14" s="54"/>
      <c r="I14" s="54"/>
      <c r="J14" s="54"/>
      <c r="K14" s="366"/>
      <c r="L14" s="21"/>
      <c r="N14" s="53"/>
      <c r="O14" s="16"/>
      <c r="P14" s="292"/>
      <c r="Q14" s="292"/>
    </row>
    <row r="15" spans="1:17">
      <c r="A15" s="502" t="s">
        <v>83</v>
      </c>
      <c r="B15">
        <f>'Clés de répartition'!I106</f>
        <v>0.71967120762060799</v>
      </c>
      <c r="C15">
        <f>'Clés de répartition'!E106</f>
        <v>10.076037078766801</v>
      </c>
      <c r="D15">
        <f>'Privé - Contravention'!$E$8+'Caché - Accident'!$E$6</f>
        <v>217.42167565007125</v>
      </c>
      <c r="E15">
        <f>'Indirect - Villes'!N26+'Indirect - Villes'!V26</f>
        <v>139.3636625491751</v>
      </c>
      <c r="F15">
        <f>'Caché - Accident'!$E$7</f>
        <v>28.7420362406652</v>
      </c>
      <c r="G15">
        <f>'Caché - Emprise spatiale'!O30</f>
        <v>46.310332774251343</v>
      </c>
      <c r="H15" s="54"/>
      <c r="I15" s="54"/>
      <c r="J15" s="54"/>
      <c r="K15" s="366"/>
      <c r="L15" s="21"/>
      <c r="N15" s="53"/>
      <c r="O15" s="16"/>
      <c r="P15" s="292"/>
      <c r="Q15" s="292"/>
    </row>
    <row r="16" spans="1:17">
      <c r="A16" s="502" t="s">
        <v>84</v>
      </c>
      <c r="B16">
        <f>'Clés de répartition'!I107</f>
        <v>0</v>
      </c>
      <c r="C16">
        <f>'Clés de répartition'!E107</f>
        <v>0</v>
      </c>
      <c r="D16">
        <f>'Privé - Contravention'!$E$8+'Caché - Accident'!$E$6</f>
        <v>217.42167565007125</v>
      </c>
      <c r="E16">
        <f>'Indirect - Villes'!N27+'Indirect - Villes'!V27</f>
        <v>6.0934294670376454</v>
      </c>
      <c r="F16">
        <f>'Caché - Accident'!$E$7</f>
        <v>28.7420362406652</v>
      </c>
      <c r="G16">
        <f>'Caché - Emprise spatiale'!O31</f>
        <v>0</v>
      </c>
      <c r="H16" s="54"/>
      <c r="I16" s="54"/>
      <c r="J16" s="54"/>
      <c r="K16" s="366"/>
      <c r="L16" s="21"/>
      <c r="N16" s="53"/>
      <c r="O16" s="16"/>
      <c r="P16" s="292"/>
      <c r="Q16" s="292"/>
    </row>
    <row r="17" spans="1:17">
      <c r="A17" s="502" t="s">
        <v>85</v>
      </c>
      <c r="B17">
        <f>'Clés de répartition'!I108</f>
        <v>1.51083391453507</v>
      </c>
      <c r="C17">
        <f>'Clés de répartition'!E108</f>
        <v>21.2116746149931</v>
      </c>
      <c r="D17">
        <f>'Privé - Contravention'!$E$8+'Caché - Accident'!$E$6</f>
        <v>217.42167565007125</v>
      </c>
      <c r="E17">
        <f>'Indirect - Villes'!N28+'Indirect - Villes'!V28</f>
        <v>405.45280617563196</v>
      </c>
      <c r="F17">
        <f>'Caché - Accident'!$E$7</f>
        <v>28.7420362406652</v>
      </c>
      <c r="G17">
        <f>'Caché - Emprise spatiale'!O32</f>
        <v>1751.1630752811891</v>
      </c>
      <c r="H17" s="54"/>
      <c r="I17" s="54"/>
      <c r="J17" s="54"/>
      <c r="K17" s="366"/>
      <c r="N17" s="53"/>
      <c r="O17" s="16"/>
      <c r="P17" s="292"/>
      <c r="Q17" s="292"/>
    </row>
    <row r="18" spans="1:17">
      <c r="A18" s="502" t="s">
        <v>154</v>
      </c>
      <c r="B18">
        <f>'Clés de répartition'!I110</f>
        <v>1.0303170422124599</v>
      </c>
      <c r="C18">
        <f>'Clés de répartition'!E110</f>
        <v>14.3081169579327</v>
      </c>
      <c r="D18">
        <f>'Privé - Contravention'!$E$8+'Caché - Accident'!$E$6</f>
        <v>217.42167565007125</v>
      </c>
      <c r="E18">
        <f>'Indirect - Villes'!N30+'Indirect - Villes'!V30</f>
        <v>211.45742105755014</v>
      </c>
      <c r="F18">
        <f>'Caché - Accident'!$E$7</f>
        <v>28.7420362406652</v>
      </c>
      <c r="G18">
        <f>'Caché - Emprise spatiale'!O34</f>
        <v>420.99862868500156</v>
      </c>
      <c r="H18" s="54"/>
      <c r="I18" s="54"/>
      <c r="J18" s="54"/>
      <c r="K18" s="366"/>
      <c r="L18" s="21"/>
      <c r="N18" s="53"/>
      <c r="O18" s="16"/>
      <c r="P18" s="292"/>
      <c r="Q18" s="292"/>
    </row>
    <row r="19" spans="1:17">
      <c r="A19" s="502" t="s">
        <v>155</v>
      </c>
      <c r="B19">
        <f>'Clés de répartition'!I111</f>
        <v>1.0631401834535099</v>
      </c>
      <c r="C19">
        <f>'Clés de répartition'!E111</f>
        <v>14.560982512229099</v>
      </c>
      <c r="D19">
        <f>'Privé - Contravention'!$E$8+'Caché - Accident'!$E$6</f>
        <v>217.42167565007125</v>
      </c>
      <c r="E19">
        <f>'Indirect - Villes'!N31+'Indirect - Villes'!V31</f>
        <v>212.9195960499186</v>
      </c>
      <c r="F19">
        <f>'Caché - Accident'!$E$7</f>
        <v>28.7420362406652</v>
      </c>
      <c r="G19">
        <f>'Caché - Emprise spatiale'!O35</f>
        <v>246.95575295872172</v>
      </c>
      <c r="H19" s="54"/>
      <c r="I19" s="54"/>
      <c r="J19" s="54"/>
      <c r="K19" s="366"/>
      <c r="L19" s="21"/>
      <c r="N19" s="53"/>
      <c r="O19" s="16"/>
      <c r="P19" s="292"/>
      <c r="Q19" s="292"/>
    </row>
    <row r="20" spans="1:17">
      <c r="A20" s="502" t="s">
        <v>156</v>
      </c>
      <c r="B20">
        <f>'Clés de répartition'!I112</f>
        <v>1.1811430785408099</v>
      </c>
      <c r="C20">
        <f>'Clés de répartition'!E112</f>
        <v>16.929718973793101</v>
      </c>
      <c r="D20">
        <f>'Privé - Contravention'!$E$8+'Caché - Accident'!$E$6</f>
        <v>217.42167565007125</v>
      </c>
      <c r="E20">
        <f>'Indirect - Villes'!N32+'Indirect - Villes'!V32</f>
        <v>206.79415908420009</v>
      </c>
      <c r="F20">
        <f>'Caché - Accident'!$E$7</f>
        <v>28.7420362406652</v>
      </c>
      <c r="G20">
        <f>'Caché - Emprise spatiale'!O36</f>
        <v>319.28154083390001</v>
      </c>
      <c r="H20" s="54"/>
      <c r="I20" s="54"/>
      <c r="J20" s="54"/>
      <c r="K20" s="366"/>
      <c r="L20" s="21"/>
      <c r="N20" s="53"/>
      <c r="O20" s="16"/>
      <c r="P20" s="292"/>
      <c r="Q20" s="292"/>
    </row>
    <row r="21" spans="1:17">
      <c r="A21" s="502" t="s">
        <v>403</v>
      </c>
      <c r="B21">
        <f>'Clés de répartition'!I113</f>
        <v>1.0036683372617801</v>
      </c>
      <c r="C21">
        <f>'Clés de répartition'!E113</f>
        <v>13.955559220317401</v>
      </c>
      <c r="D21">
        <f>'Privé - Contravention'!$E$8+'Caché - Accident'!$E$6</f>
        <v>217.42167565007125</v>
      </c>
      <c r="E21">
        <f>'Indirect - Villes'!N33+'Indirect - Villes'!V33</f>
        <v>207.58706067333461</v>
      </c>
      <c r="F21">
        <f>'Caché - Accident'!$E$7</f>
        <v>28.7420362406652</v>
      </c>
      <c r="G21">
        <f>'Caché - Emprise spatiale'!O37</f>
        <v>15.903168733833551</v>
      </c>
      <c r="H21" s="54"/>
      <c r="I21" s="54"/>
      <c r="J21" s="54"/>
      <c r="K21" s="366"/>
      <c r="L21" s="21"/>
      <c r="N21" s="53"/>
      <c r="O21" s="16"/>
      <c r="P21" s="292"/>
      <c r="Q21" s="292"/>
    </row>
    <row r="22" spans="1:17">
      <c r="A22" s="502" t="s">
        <v>168</v>
      </c>
      <c r="B22">
        <f>'Clés de répartition'!I114</f>
        <v>0.76136363636363602</v>
      </c>
      <c r="C22">
        <f>'Clés de répartition'!E114</f>
        <v>10.4975995213999</v>
      </c>
      <c r="D22">
        <f>'Privé - Contravention'!$E$8+'Caché - Accident'!$E$6</f>
        <v>217.42167565007125</v>
      </c>
      <c r="E22">
        <f>'Indirect - Villes'!N34+'Indirect - Villes'!V34</f>
        <v>211.95451450820352</v>
      </c>
      <c r="F22">
        <f>'Caché - Accident'!$E$7</f>
        <v>28.7420362406652</v>
      </c>
      <c r="G22">
        <f>'Caché - Emprise spatiale'!O38</f>
        <v>227.26811823201876</v>
      </c>
      <c r="H22" s="54"/>
      <c r="I22" s="54"/>
      <c r="J22" s="54"/>
      <c r="K22" s="366"/>
      <c r="L22" s="21"/>
      <c r="N22" s="53"/>
      <c r="O22" s="16"/>
      <c r="P22" s="292"/>
      <c r="Q22" s="292"/>
    </row>
    <row r="23" spans="1:17">
      <c r="A23" s="502" t="s">
        <v>167</v>
      </c>
      <c r="B23">
        <f>'Clés de répartition'!I115</f>
        <v>0.81946737037685302</v>
      </c>
      <c r="C23">
        <f>'Clés de répartition'!E115</f>
        <v>11.2605975253457</v>
      </c>
      <c r="D23">
        <f>'Privé - Contravention'!$E$8+'Caché - Accident'!$E$6</f>
        <v>217.42167565007125</v>
      </c>
      <c r="E23">
        <f>'Indirect - Villes'!N35+'Indirect - Villes'!V35</f>
        <v>209.22063828937766</v>
      </c>
      <c r="F23">
        <f>'Caché - Accident'!$E$7</f>
        <v>28.7420362406652</v>
      </c>
      <c r="G23">
        <f>'Caché - Emprise spatiale'!O39</f>
        <v>258.4318836104938</v>
      </c>
      <c r="H23" s="54"/>
      <c r="I23" s="54"/>
      <c r="J23" s="54"/>
      <c r="K23" s="366"/>
      <c r="L23" s="21"/>
      <c r="M23" s="54"/>
      <c r="N23" s="53"/>
      <c r="O23" s="16"/>
      <c r="P23" s="292"/>
      <c r="Q23" s="292"/>
    </row>
    <row r="24" spans="1:17">
      <c r="A24" s="502" t="s">
        <v>170</v>
      </c>
      <c r="B24">
        <f>'Clés de répartition'!I116</f>
        <v>1.0958180484226001</v>
      </c>
      <c r="C24">
        <f>'Clés de répartition'!E116</f>
        <v>15.361647484103701</v>
      </c>
      <c r="D24">
        <f>'Privé - Contravention'!$E$8+'Caché - Accident'!$E$6</f>
        <v>217.42167565007125</v>
      </c>
      <c r="E24">
        <f>'Indirect - Villes'!N36+'Indirect - Villes'!V36</f>
        <v>207.81167711762077</v>
      </c>
      <c r="F24">
        <f>'Caché - Accident'!$E$7</f>
        <v>28.7420362406652</v>
      </c>
      <c r="G24">
        <f>'Caché - Emprise spatiale'!O40</f>
        <v>287.60908466125858</v>
      </c>
      <c r="H24" s="54"/>
      <c r="I24" s="54"/>
      <c r="J24" s="54"/>
      <c r="K24" s="366"/>
      <c r="L24" s="21"/>
      <c r="N24" s="53"/>
      <c r="O24" s="16"/>
      <c r="P24" s="292"/>
      <c r="Q24" s="292"/>
    </row>
    <row r="25" spans="1:17">
      <c r="A25" s="502" t="s">
        <v>171</v>
      </c>
      <c r="B25">
        <f>'Clés de répartition'!I117</f>
        <v>0.85770711224541896</v>
      </c>
      <c r="C25">
        <f>'Clés de répartition'!E117</f>
        <v>11.837735930822999</v>
      </c>
      <c r="D25">
        <f>'Privé - Contravention'!$E$8+'Caché - Accident'!$E$6</f>
        <v>217.42167565007125</v>
      </c>
      <c r="E25">
        <f>'Indirect - Villes'!N37+'Indirect - Villes'!V37</f>
        <v>212.05577325582775</v>
      </c>
      <c r="F25">
        <f>'Caché - Accident'!$E$7</f>
        <v>28.7420362406652</v>
      </c>
      <c r="G25">
        <f>'Caché - Emprise spatiale'!O41</f>
        <v>223.90020794579451</v>
      </c>
      <c r="H25" s="54"/>
      <c r="I25" s="54"/>
      <c r="J25" s="54"/>
      <c r="K25" s="366"/>
      <c r="L25" s="21"/>
      <c r="M25" s="54"/>
      <c r="N25" s="53"/>
      <c r="O25" s="16"/>
      <c r="P25" s="292"/>
      <c r="Q25" s="292"/>
    </row>
    <row r="26" spans="1:17">
      <c r="A26" s="502" t="s">
        <v>172</v>
      </c>
      <c r="B26">
        <f>'Clés de répartition'!I118</f>
        <v>1.2215463662333701</v>
      </c>
      <c r="C26">
        <f>'Clés de répartition'!E118</f>
        <v>17.023575941251401</v>
      </c>
      <c r="D26">
        <f>'Privé - Contravention'!$E$8+'Caché - Accident'!$E$6</f>
        <v>217.42167565007125</v>
      </c>
      <c r="E26">
        <f>'Indirect - Villes'!N38+'Indirect - Villes'!V38</f>
        <v>205.07127188336617</v>
      </c>
      <c r="F26">
        <f>'Caché - Accident'!$E$7</f>
        <v>28.7420362406652</v>
      </c>
      <c r="G26">
        <f>'Caché - Emprise spatiale'!O42</f>
        <v>861.35386710611408</v>
      </c>
      <c r="H26" s="54"/>
      <c r="I26" s="54"/>
      <c r="J26" s="54"/>
      <c r="K26" s="366"/>
      <c r="L26" s="21"/>
      <c r="N26" s="53"/>
      <c r="O26" s="16"/>
      <c r="P26" s="292"/>
      <c r="Q26" s="292"/>
    </row>
    <row r="27" spans="1:17">
      <c r="A27" s="502" t="s">
        <v>173</v>
      </c>
      <c r="B27">
        <f>'Clés de répartition'!I119</f>
        <v>1.2948395172287499</v>
      </c>
      <c r="C27">
        <f>'Clés de répartition'!E119</f>
        <v>17.924277980176299</v>
      </c>
      <c r="D27">
        <f>'Privé - Contravention'!$E$8+'Caché - Accident'!$E$6</f>
        <v>217.42167565007125</v>
      </c>
      <c r="E27">
        <f>'Indirect - Villes'!N39+'Indirect - Villes'!V39</f>
        <v>204.75833612156114</v>
      </c>
      <c r="F27">
        <f>'Caché - Accident'!$E$7</f>
        <v>28.7420362406652</v>
      </c>
      <c r="G27">
        <f>'Caché - Emprise spatiale'!O43</f>
        <v>70.692493897570074</v>
      </c>
      <c r="H27" s="54"/>
      <c r="I27" s="54"/>
      <c r="J27" s="54"/>
      <c r="K27" s="366"/>
      <c r="L27" s="21"/>
      <c r="M27" s="53"/>
      <c r="N27" s="53"/>
      <c r="O27" s="16"/>
      <c r="P27" s="292"/>
      <c r="Q27" s="292"/>
    </row>
    <row r="28" spans="1:17">
      <c r="A28" s="502" t="s">
        <v>350</v>
      </c>
      <c r="B28">
        <f>'Clés de répartition'!I120</f>
        <v>1.44742155184196</v>
      </c>
      <c r="C28">
        <f>'Clés de répartition'!E120</f>
        <v>20.2578988646985</v>
      </c>
      <c r="D28">
        <f>'Privé - Contravention'!$E$8+'Caché - Accident'!$E$6</f>
        <v>217.42167565007125</v>
      </c>
      <c r="E28">
        <f>'Indirect - Villes'!N40+'Indirect - Villes'!V40</f>
        <v>206.58614870704966</v>
      </c>
      <c r="F28">
        <f>'Caché - Accident'!$E$7</f>
        <v>28.7420362406652</v>
      </c>
      <c r="G28">
        <f>'Caché - Emprise spatiale'!O44</f>
        <v>866.8978107075078</v>
      </c>
      <c r="H28" s="54"/>
      <c r="I28" s="54"/>
      <c r="J28" s="54"/>
      <c r="K28" s="366"/>
      <c r="L28" s="21"/>
      <c r="N28" s="53"/>
      <c r="O28" s="16"/>
      <c r="P28" s="292"/>
      <c r="Q28" s="292"/>
    </row>
    <row r="29" spans="1:17">
      <c r="A29" s="502" t="s">
        <v>174</v>
      </c>
      <c r="B29">
        <f>'Clés de répartition'!I121</f>
        <v>1.0261234050710399</v>
      </c>
      <c r="C29">
        <f>'Clés de répartition'!E121</f>
        <v>14.017185257222501</v>
      </c>
      <c r="D29">
        <f>'Privé - Contravention'!$E$8+'Caché - Accident'!$E$6</f>
        <v>217.42167565007125</v>
      </c>
      <c r="E29">
        <f>'Indirect - Villes'!N41+'Indirect - Villes'!V41</f>
        <v>212.57342638993453</v>
      </c>
      <c r="F29">
        <f>'Caché - Accident'!$E$7</f>
        <v>28.7420362406652</v>
      </c>
      <c r="G29">
        <f>'Caché - Emprise spatiale'!O45</f>
        <v>171.45654905368767</v>
      </c>
      <c r="H29" s="54"/>
      <c r="I29" s="54"/>
      <c r="J29" s="54"/>
      <c r="K29" s="366"/>
      <c r="L29" s="21"/>
      <c r="N29" s="53"/>
      <c r="O29" s="16"/>
      <c r="P29" s="292"/>
      <c r="Q29" s="292"/>
    </row>
    <row r="30" spans="1:17">
      <c r="A30" s="502" t="s">
        <v>175</v>
      </c>
      <c r="B30">
        <f>'Clés de répartition'!I122</f>
        <v>1.18373370081353</v>
      </c>
      <c r="C30">
        <f>'Clés de répartition'!E122</f>
        <v>16.491804247280999</v>
      </c>
      <c r="D30">
        <f>'Privé - Contravention'!$E$8+'Caché - Accident'!$E$6</f>
        <v>217.42167565007125</v>
      </c>
      <c r="E30">
        <f>'Indirect - Villes'!N42+'Indirect - Villes'!V42</f>
        <v>209.64537921138978</v>
      </c>
      <c r="F30">
        <f>'Caché - Accident'!$E$7</f>
        <v>28.7420362406652</v>
      </c>
      <c r="G30">
        <f>'Caché - Emprise spatiale'!O46</f>
        <v>646.4361321445582</v>
      </c>
      <c r="H30" s="54"/>
      <c r="I30" s="54"/>
      <c r="J30" s="54"/>
      <c r="K30" s="366"/>
      <c r="N30" s="53"/>
      <c r="O30" s="16"/>
      <c r="P30" s="292"/>
      <c r="Q30" s="292"/>
    </row>
    <row r="31" spans="1:17">
      <c r="A31" s="502" t="s">
        <v>176</v>
      </c>
      <c r="B31">
        <f>'Clés de répartition'!I123</f>
        <v>1.1611414676793601</v>
      </c>
      <c r="C31">
        <f>'Clés de répartition'!E123</f>
        <v>16.350964428173299</v>
      </c>
      <c r="D31">
        <f>'Privé - Contravention'!$E$8+'Caché - Accident'!$E$6</f>
        <v>217.42167565007125</v>
      </c>
      <c r="E31">
        <f>'Indirect - Villes'!N43+'Indirect - Villes'!V43</f>
        <v>203.62171023547566</v>
      </c>
      <c r="F31">
        <f>'Caché - Accident'!$E$7</f>
        <v>28.7420362406652</v>
      </c>
      <c r="G31">
        <f>'Caché - Emprise spatiale'!O47</f>
        <v>216.17389531626964</v>
      </c>
      <c r="H31" s="54"/>
      <c r="I31" s="54"/>
      <c r="J31" s="54"/>
      <c r="K31" s="366"/>
      <c r="L31" s="21"/>
      <c r="N31" s="53"/>
      <c r="O31" s="16"/>
      <c r="P31" s="292"/>
      <c r="Q31" s="292"/>
    </row>
    <row r="32" spans="1:17">
      <c r="A32" s="502" t="s">
        <v>177</v>
      </c>
      <c r="B32">
        <f>'Clés de répartition'!I124</f>
        <v>0.94923564689254702</v>
      </c>
      <c r="C32">
        <f>'Clés de répartition'!E124</f>
        <v>13.066452500095499</v>
      </c>
      <c r="D32">
        <f>'Privé - Contravention'!$E$8+'Caché - Accident'!$E$6</f>
        <v>217.42167565007125</v>
      </c>
      <c r="E32">
        <f>'Indirect - Villes'!N44+'Indirect - Villes'!V44</f>
        <v>215.88208002971368</v>
      </c>
      <c r="F32">
        <f>'Caché - Accident'!$E$7</f>
        <v>28.7420362406652</v>
      </c>
      <c r="G32">
        <f>'Caché - Emprise spatiale'!O48</f>
        <v>312.89878807944785</v>
      </c>
      <c r="H32" s="54"/>
      <c r="I32" s="54"/>
      <c r="J32" s="54"/>
      <c r="K32" s="366"/>
      <c r="L32" s="21"/>
      <c r="N32" s="53"/>
      <c r="O32" s="16"/>
      <c r="P32" s="292"/>
      <c r="Q32" s="292"/>
    </row>
    <row r="33" spans="1:17">
      <c r="A33" s="502" t="s">
        <v>351</v>
      </c>
      <c r="B33">
        <f>'Clés de répartition'!I125</f>
        <v>1.23108519379502</v>
      </c>
      <c r="C33">
        <f>'Clés de répartition'!E125</f>
        <v>17.673730259004898</v>
      </c>
      <c r="D33">
        <f>'Privé - Contravention'!$E$8+'Caché - Accident'!$E$6</f>
        <v>217.42167565007125</v>
      </c>
      <c r="E33">
        <f>'Indirect - Villes'!N45+'Indirect - Villes'!V45</f>
        <v>202.68094708411149</v>
      </c>
      <c r="F33">
        <f>'Caché - Accident'!$E$7</f>
        <v>28.7420362406652</v>
      </c>
      <c r="G33">
        <f>'Caché - Emprise spatiale'!O49</f>
        <v>366.23240688667101</v>
      </c>
      <c r="H33" s="54"/>
      <c r="I33" s="54"/>
      <c r="J33" s="54"/>
      <c r="K33" s="366"/>
      <c r="L33" s="21"/>
      <c r="N33" s="53"/>
      <c r="O33" s="16"/>
      <c r="P33" s="292"/>
      <c r="Q33" s="292"/>
    </row>
    <row r="34" spans="1:17">
      <c r="A34" s="502" t="s">
        <v>856</v>
      </c>
      <c r="B34">
        <f>'Clés de répartition'!I126</f>
        <v>1.02748623836537</v>
      </c>
      <c r="C34">
        <f>'Clés de répartition'!E126</f>
        <v>14.182995776660499</v>
      </c>
      <c r="D34">
        <f>'Privé - Contravention'!$E$8+'Caché - Accident'!$E$6</f>
        <v>217.42167565007125</v>
      </c>
      <c r="E34">
        <f>'Indirect - Villes'!N46+'Indirect - Villes'!V46</f>
        <v>207.96140839520393</v>
      </c>
      <c r="F34">
        <f>'Caché - Accident'!$E$7</f>
        <v>28.7420362406652</v>
      </c>
      <c r="G34">
        <f>'Caché - Emprise spatiale'!O50</f>
        <v>362.68484886904571</v>
      </c>
      <c r="H34" s="54"/>
      <c r="I34" s="54"/>
      <c r="J34" s="54"/>
      <c r="K34" s="366"/>
      <c r="L34" s="21"/>
      <c r="N34" s="53"/>
      <c r="O34" s="16"/>
      <c r="P34" s="292"/>
      <c r="Q34" s="292"/>
    </row>
    <row r="35" spans="1:17">
      <c r="A35" s="502" t="s">
        <v>178</v>
      </c>
      <c r="B35">
        <f>'Clés de répartition'!I127</f>
        <v>1.1225284715957899</v>
      </c>
      <c r="C35">
        <f>'Clés de répartition'!E127</f>
        <v>15.983360091648199</v>
      </c>
      <c r="D35">
        <f>'Privé - Contravention'!$E$8+'Caché - Accident'!$E$6</f>
        <v>217.42167565007125</v>
      </c>
      <c r="E35">
        <f>'Indirect - Villes'!N47+'Indirect - Villes'!V47</f>
        <v>214.73296897962689</v>
      </c>
      <c r="F35">
        <f>'Caché - Accident'!$E$7</f>
        <v>28.7420362406652</v>
      </c>
      <c r="G35">
        <f>'Caché - Emprise spatiale'!O51</f>
        <v>820.31390454517873</v>
      </c>
      <c r="H35" s="54"/>
      <c r="I35" s="54"/>
      <c r="J35" s="54"/>
      <c r="K35" s="366"/>
    </row>
    <row r="36" spans="1:17">
      <c r="A36" s="502" t="s">
        <v>179</v>
      </c>
      <c r="B36">
        <f>'Clés de répartition'!I128</f>
        <v>0.90762730903644395</v>
      </c>
      <c r="C36">
        <f>'Clés de répartition'!E128</f>
        <v>12.614465281244801</v>
      </c>
      <c r="D36">
        <f>'Privé - Contravention'!$E$8+'Caché - Accident'!$E$6</f>
        <v>217.42167565007125</v>
      </c>
      <c r="E36">
        <f>'Indirect - Villes'!N48+'Indirect - Villes'!V48</f>
        <v>204.29239258829918</v>
      </c>
      <c r="F36">
        <f>'Caché - Accident'!$E$7</f>
        <v>28.7420362406652</v>
      </c>
      <c r="G36">
        <f>'Caché - Emprise spatiale'!O52</f>
        <v>322.65853886546421</v>
      </c>
      <c r="H36" s="54"/>
      <c r="I36" s="54"/>
      <c r="J36" s="54"/>
      <c r="K36" s="366"/>
      <c r="L36" s="21"/>
      <c r="M36" s="21"/>
      <c r="N36" s="53"/>
      <c r="O36" s="16"/>
    </row>
  </sheetData>
  <conditionalFormatting sqref="J2:J17">
    <cfRule type="cellIs" dxfId="1" priority="2" operator="greaterThan">
      <formula>$M$8+$M$10</formula>
    </cfRule>
  </conditionalFormatting>
  <conditionalFormatting sqref="J18:J36">
    <cfRule type="cellIs" dxfId="0" priority="1" operator="greaterThan">
      <formula>$M$25+$M$27</formula>
    </cfRule>
  </conditionalFormatting>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FCF47E-2618-5342-97C4-98E356794585}">
  <sheetPr codeName="Sheet34">
    <tabColor theme="7"/>
  </sheetPr>
  <dimension ref="A1:R38"/>
  <sheetViews>
    <sheetView topLeftCell="A2" zoomScale="67" zoomScaleNormal="100" workbookViewId="0">
      <selection activeCell="M26" sqref="M26"/>
    </sheetView>
  </sheetViews>
  <sheetFormatPr baseColWidth="10" defaultRowHeight="16"/>
  <cols>
    <col min="1" max="1" width="34" customWidth="1"/>
    <col min="2" max="2" width="10.33203125" bestFit="1" customWidth="1"/>
    <col min="3" max="3" width="15.1640625" customWidth="1"/>
    <col min="4" max="4" width="14" customWidth="1"/>
    <col min="5" max="5" width="13" customWidth="1"/>
    <col min="6" max="6" width="14.1640625" customWidth="1"/>
    <col min="7" max="7" width="11.5" bestFit="1" customWidth="1"/>
    <col min="8" max="10" width="13.83203125" customWidth="1"/>
    <col min="11" max="11" width="15.1640625" customWidth="1"/>
    <col min="12" max="12" width="13.83203125" customWidth="1"/>
    <col min="13" max="13" width="26" customWidth="1"/>
    <col min="14" max="14" width="18.83203125" customWidth="1"/>
    <col min="15" max="15" width="13.5" customWidth="1"/>
  </cols>
  <sheetData>
    <row r="1" spans="1:18" s="114" customFormat="1">
      <c r="A1" s="596"/>
      <c r="B1" s="283"/>
      <c r="C1" s="283"/>
      <c r="D1" s="283"/>
      <c r="E1" s="283"/>
      <c r="F1" s="283"/>
      <c r="G1" s="138"/>
      <c r="H1" s="138"/>
      <c r="I1" s="138"/>
      <c r="J1" s="138"/>
      <c r="K1" s="138"/>
      <c r="L1" s="138"/>
      <c r="M1" s="138"/>
      <c r="N1" s="138"/>
      <c r="O1" s="138"/>
      <c r="P1" s="138"/>
    </row>
    <row r="2" spans="1:18" ht="52" thickBot="1">
      <c r="A2" s="595" t="s">
        <v>13</v>
      </c>
      <c r="B2" s="283" t="s">
        <v>458</v>
      </c>
      <c r="C2" s="283" t="s">
        <v>459</v>
      </c>
      <c r="D2" s="283" t="s">
        <v>460</v>
      </c>
      <c r="E2" s="283" t="s">
        <v>578</v>
      </c>
      <c r="F2" s="283" t="s">
        <v>462</v>
      </c>
      <c r="G2" s="138" t="s">
        <v>465</v>
      </c>
      <c r="H2" s="138" t="s">
        <v>464</v>
      </c>
      <c r="I2" s="138" t="s">
        <v>572</v>
      </c>
      <c r="J2" s="138" t="s">
        <v>570</v>
      </c>
      <c r="K2" s="138" t="s">
        <v>571</v>
      </c>
      <c r="L2" s="366"/>
      <c r="M2" s="20"/>
      <c r="N2" s="21"/>
      <c r="O2" s="53"/>
      <c r="P2" s="16"/>
    </row>
    <row r="3" spans="1:18" ht="17">
      <c r="A3" s="298" t="s">
        <v>202</v>
      </c>
      <c r="B3" s="54">
        <v>217.42167565007125</v>
      </c>
      <c r="C3" s="282">
        <v>1861.061134928606</v>
      </c>
      <c r="D3" s="54">
        <v>209.92313869282276</v>
      </c>
      <c r="E3" s="54">
        <v>530.73037565542893</v>
      </c>
      <c r="F3" s="54">
        <v>-768.41290114779167</v>
      </c>
      <c r="G3" s="54">
        <v>2078.4828105786773</v>
      </c>
      <c r="H3" s="54">
        <v>-27.759386799539925</v>
      </c>
      <c r="I3" s="54">
        <v>-1.3355600853783987E-2</v>
      </c>
      <c r="J3" s="54">
        <v>3.6591369089094856</v>
      </c>
      <c r="K3" s="54">
        <v>-4.8869972024744024E-2</v>
      </c>
      <c r="L3" s="366"/>
      <c r="M3" s="21"/>
      <c r="O3" s="53"/>
      <c r="P3" s="16"/>
      <c r="Q3" s="292"/>
      <c r="R3" s="292"/>
    </row>
    <row r="4" spans="1:18">
      <c r="A4" s="19" t="e" vm="1">
        <v>#VALUE!</v>
      </c>
      <c r="B4" s="54">
        <v>217.42167565007125</v>
      </c>
      <c r="C4" s="282">
        <v>1670.3969277043768</v>
      </c>
      <c r="D4" s="54">
        <v>143.15591623203866</v>
      </c>
      <c r="E4" s="54">
        <v>192.63615654139448</v>
      </c>
      <c r="F4" s="54">
        <v>-702.45672741197131</v>
      </c>
      <c r="G4" s="54">
        <v>1887.818603354448</v>
      </c>
      <c r="H4" s="54">
        <v>-366.6646546385382</v>
      </c>
      <c r="I4" s="54">
        <v>-0.1942266349039124</v>
      </c>
      <c r="J4" s="54">
        <v>3.6355285137899087</v>
      </c>
      <c r="K4" s="54">
        <v>-0.70611646933063588</v>
      </c>
      <c r="L4" s="366"/>
      <c r="M4" s="21"/>
      <c r="O4" s="53"/>
      <c r="P4" s="16"/>
      <c r="Q4" s="292"/>
      <c r="R4" s="292"/>
    </row>
    <row r="5" spans="1:18">
      <c r="A5" s="19" t="e" vm="2">
        <v>#VALUE!</v>
      </c>
      <c r="B5" s="54">
        <v>217.42167565007125</v>
      </c>
      <c r="C5" s="282">
        <v>1426.6664260622665</v>
      </c>
      <c r="D5" s="54">
        <v>38.857862904606677</v>
      </c>
      <c r="E5" s="54">
        <v>163.69441089232123</v>
      </c>
      <c r="F5" s="54">
        <v>-613.78907523802059</v>
      </c>
      <c r="G5" s="54">
        <v>1644.0881017123377</v>
      </c>
      <c r="H5" s="54">
        <v>-411.23680144109267</v>
      </c>
      <c r="I5" s="54">
        <v>-0.25013063534295066</v>
      </c>
      <c r="J5" s="54">
        <v>3.6235378483785476</v>
      </c>
      <c r="K5" s="54">
        <v>-0.90635782420415445</v>
      </c>
      <c r="L5" s="366"/>
      <c r="M5" s="21"/>
      <c r="N5" s="54"/>
      <c r="O5" s="53"/>
      <c r="P5" s="16"/>
      <c r="Q5" s="292"/>
      <c r="R5" s="292"/>
    </row>
    <row r="6" spans="1:18">
      <c r="A6" s="19" t="e" vm="3">
        <v>#VALUE!</v>
      </c>
      <c r="B6" s="54">
        <v>217.42167565007125</v>
      </c>
      <c r="C6" s="282">
        <v>1646.5613823561232</v>
      </c>
      <c r="D6" s="54">
        <v>143.10566295909234</v>
      </c>
      <c r="E6" s="54">
        <v>284.35334201169348</v>
      </c>
      <c r="F6" s="54">
        <v>-685.88624943101024</v>
      </c>
      <c r="G6" s="54">
        <v>1863.9830580061944</v>
      </c>
      <c r="H6" s="54">
        <v>-258.42724446022441</v>
      </c>
      <c r="I6" s="54">
        <v>-0.13864248569761711</v>
      </c>
      <c r="J6" s="54">
        <v>3.6763490124507601</v>
      </c>
      <c r="K6" s="54">
        <v>-0.50969816537815327</v>
      </c>
      <c r="L6" s="366"/>
      <c r="M6" s="21"/>
      <c r="N6" s="54"/>
      <c r="O6" s="53"/>
      <c r="P6" s="16"/>
      <c r="Q6" s="292"/>
      <c r="R6" s="292"/>
    </row>
    <row r="7" spans="1:18">
      <c r="A7" s="19" t="e" vm="4">
        <v>#VALUE!</v>
      </c>
      <c r="B7" s="54">
        <v>217.42167565007125</v>
      </c>
      <c r="C7" s="282">
        <v>1907.208385314563</v>
      </c>
      <c r="D7" s="54">
        <v>46.702581130106466</v>
      </c>
      <c r="E7" s="54">
        <v>171.15955116134541</v>
      </c>
      <c r="F7" s="54">
        <v>-807.10874391147206</v>
      </c>
      <c r="G7" s="54">
        <v>2124.6300609646341</v>
      </c>
      <c r="H7" s="54">
        <v>-589.24661162002019</v>
      </c>
      <c r="I7" s="54">
        <v>-0.27734080508702197</v>
      </c>
      <c r="J7" s="54">
        <v>3.5610505563502808</v>
      </c>
      <c r="K7" s="54">
        <v>-0.98762462825377439</v>
      </c>
      <c r="L7" s="366"/>
      <c r="M7" s="21"/>
      <c r="O7" s="53"/>
      <c r="P7" s="16"/>
      <c r="Q7" s="292"/>
      <c r="R7" s="292"/>
    </row>
    <row r="8" spans="1:18">
      <c r="A8" s="19" t="e" vm="5">
        <v>#VALUE!</v>
      </c>
      <c r="B8" s="54">
        <v>217.42167565007125</v>
      </c>
      <c r="C8" s="282">
        <v>2644.2201058201013</v>
      </c>
      <c r="D8" s="54">
        <v>204.50564074525406</v>
      </c>
      <c r="E8" s="54">
        <v>238.2620487823109</v>
      </c>
      <c r="F8" s="54">
        <v>-1109.4414022303579</v>
      </c>
      <c r="G8" s="54">
        <v>2861.6417814701726</v>
      </c>
      <c r="H8" s="54">
        <v>-666.67371270279295</v>
      </c>
      <c r="I8" s="54">
        <v>-0.23296896104175846</v>
      </c>
      <c r="J8" s="54">
        <v>3.489295650016305</v>
      </c>
      <c r="K8" s="54">
        <v>-0.81289758235182585</v>
      </c>
      <c r="L8" s="366"/>
      <c r="N8" s="54"/>
      <c r="O8" s="53"/>
      <c r="P8" s="16"/>
      <c r="Q8" s="292"/>
      <c r="R8" s="292"/>
    </row>
    <row r="9" spans="1:18">
      <c r="A9" s="19" t="e" vm="6">
        <v>#VALUE!</v>
      </c>
      <c r="B9" s="54">
        <v>217.42167565007125</v>
      </c>
      <c r="C9" s="282">
        <v>1729.763402110415</v>
      </c>
      <c r="D9" s="54">
        <v>342.14267336788782</v>
      </c>
      <c r="E9" s="54">
        <v>1488.7164816783568</v>
      </c>
      <c r="F9" s="54">
        <v>-700.44114705502159</v>
      </c>
      <c r="G9" s="54">
        <v>1947.1850777604861</v>
      </c>
      <c r="H9" s="54">
        <v>1130.418007991223</v>
      </c>
      <c r="I9" s="54">
        <v>0.58053958039332831</v>
      </c>
      <c r="J9" s="54">
        <v>3.7606459818975346</v>
      </c>
      <c r="K9" s="54">
        <v>2.1832038403386509</v>
      </c>
      <c r="L9" s="366"/>
      <c r="M9" s="21"/>
      <c r="O9" s="53"/>
      <c r="P9" s="16"/>
      <c r="Q9" s="292"/>
      <c r="R9" s="292"/>
    </row>
    <row r="10" spans="1:18">
      <c r="A10" s="19" t="e" vm="7">
        <v>#VALUE!</v>
      </c>
      <c r="B10" s="54">
        <v>217.42167565007125</v>
      </c>
      <c r="C10" s="282">
        <v>2383.4905572611351</v>
      </c>
      <c r="D10" s="54">
        <v>82.151707141109227</v>
      </c>
      <c r="E10" s="54">
        <v>190.69964094323961</v>
      </c>
      <c r="F10" s="54">
        <v>-1037.5065889014284</v>
      </c>
      <c r="G10" s="54">
        <v>2600.9122329112065</v>
      </c>
      <c r="H10" s="54">
        <v>-764.65524081707952</v>
      </c>
      <c r="I10" s="54">
        <v>-0.29399501880199908</v>
      </c>
      <c r="J10" s="54">
        <v>3.3912648118454398</v>
      </c>
      <c r="K10" s="54">
        <v>-0.99701496212105789</v>
      </c>
      <c r="L10" s="366"/>
      <c r="M10" s="21"/>
      <c r="N10" s="53"/>
      <c r="O10" s="53"/>
      <c r="P10" s="16"/>
      <c r="Q10" s="292"/>
      <c r="R10" s="292"/>
    </row>
    <row r="11" spans="1:18">
      <c r="A11" s="19" t="e" vm="8">
        <v>#VALUE!</v>
      </c>
      <c r="B11" s="54">
        <v>217.42167565007125</v>
      </c>
      <c r="C11" s="282">
        <v>1851.7669128944078</v>
      </c>
      <c r="D11" s="54">
        <v>208.62596729944681</v>
      </c>
      <c r="E11" s="54">
        <v>518.46046273697664</v>
      </c>
      <c r="F11" s="54">
        <v>-764.0790631183711</v>
      </c>
      <c r="G11" s="54">
        <v>2069.188588544479</v>
      </c>
      <c r="H11" s="54">
        <v>-36.992633081947588</v>
      </c>
      <c r="I11" s="54">
        <v>-1.7877845106409159E-2</v>
      </c>
      <c r="J11" s="54">
        <v>3.6634363040490743</v>
      </c>
      <c r="K11" s="54">
        <v>-6.5494346800985398E-2</v>
      </c>
      <c r="L11" s="366"/>
      <c r="M11" s="21"/>
      <c r="O11" s="53"/>
      <c r="P11" s="16"/>
      <c r="Q11" s="292"/>
      <c r="R11" s="292"/>
    </row>
    <row r="12" spans="1:18">
      <c r="A12" s="19" t="e" vm="9">
        <v>#VALUE!</v>
      </c>
      <c r="B12" s="54">
        <v>217.42167565007125</v>
      </c>
      <c r="C12" s="282">
        <v>1503.1231381545749</v>
      </c>
      <c r="D12" s="54">
        <v>437.02336260901444</v>
      </c>
      <c r="E12" s="54">
        <v>174.97785525552086</v>
      </c>
      <c r="F12" s="54">
        <v>-641.1300905485391</v>
      </c>
      <c r="G12" s="54">
        <v>1720.5448138046461</v>
      </c>
      <c r="H12" s="54">
        <v>-29.128872684003795</v>
      </c>
      <c r="I12" s="54">
        <v>-1.6930028471383449E-2</v>
      </c>
      <c r="J12" s="54">
        <v>3.6303349631017499</v>
      </c>
      <c r="K12" s="54">
        <v>-6.1461674285971414E-2</v>
      </c>
      <c r="L12" s="366"/>
      <c r="O12" s="53"/>
      <c r="P12" s="16"/>
      <c r="Q12" s="292"/>
      <c r="R12" s="292"/>
    </row>
    <row r="13" spans="1:18">
      <c r="A13" s="19" t="e" vm="10">
        <v>#VALUE!</v>
      </c>
      <c r="B13" s="54">
        <v>217.42167565007125</v>
      </c>
      <c r="C13" s="282">
        <v>1847.1097775353064</v>
      </c>
      <c r="D13" s="54">
        <v>441.08579582372101</v>
      </c>
      <c r="E13" s="54">
        <v>1011.3631301456002</v>
      </c>
      <c r="F13" s="54">
        <v>-771.67324103928252</v>
      </c>
      <c r="G13" s="54">
        <v>2064.5314531853778</v>
      </c>
      <c r="H13" s="54">
        <v>680.77568493003866</v>
      </c>
      <c r="I13" s="54">
        <v>0.32974827478635205</v>
      </c>
      <c r="J13" s="54">
        <v>3.61921958064808</v>
      </c>
      <c r="K13" s="54">
        <v>1.193431412791689</v>
      </c>
      <c r="L13" s="366"/>
      <c r="O13" s="53"/>
      <c r="P13" s="16"/>
      <c r="Q13" s="292"/>
      <c r="R13" s="292"/>
    </row>
    <row r="14" spans="1:18">
      <c r="A14" s="19" t="e" vm="11">
        <v>#VALUE!</v>
      </c>
      <c r="B14" s="54">
        <v>217.42167565007125</v>
      </c>
      <c r="C14" s="282">
        <v>2422.2917917686718</v>
      </c>
      <c r="D14" s="54">
        <v>258.75742935852833</v>
      </c>
      <c r="E14" s="54">
        <v>1409.9452120299502</v>
      </c>
      <c r="F14" s="54">
        <v>-989.49445741676152</v>
      </c>
      <c r="G14" s="54">
        <v>2639.7134674187432</v>
      </c>
      <c r="H14" s="54">
        <v>679.20818397171695</v>
      </c>
      <c r="I14" s="54">
        <v>0.2573037537425924</v>
      </c>
      <c r="J14" s="54">
        <v>3.6088621391457885</v>
      </c>
      <c r="K14" s="54">
        <v>0.92857377514173312</v>
      </c>
      <c r="L14" s="366"/>
      <c r="M14" s="21"/>
      <c r="O14" s="53"/>
      <c r="P14" s="16"/>
      <c r="Q14" s="292"/>
      <c r="R14" s="292"/>
    </row>
    <row r="15" spans="1:18">
      <c r="A15" s="19" t="e" vm="12">
        <v>#VALUE!</v>
      </c>
      <c r="B15" s="54">
        <v>217.42167565007125</v>
      </c>
      <c r="C15" s="282">
        <v>1855.9492462716682</v>
      </c>
      <c r="D15" s="54">
        <v>179.19056841851543</v>
      </c>
      <c r="E15" s="54">
        <v>304.83885457301204</v>
      </c>
      <c r="F15" s="54">
        <v>-796.70932679106375</v>
      </c>
      <c r="G15" s="54">
        <v>2073.3709219217394</v>
      </c>
      <c r="H15" s="54">
        <v>-312.67990379953631</v>
      </c>
      <c r="I15" s="54">
        <v>-0.15080750891872427</v>
      </c>
      <c r="J15" s="54">
        <v>3.5204969461993278</v>
      </c>
      <c r="K15" s="54">
        <v>-0.53091737461229671</v>
      </c>
      <c r="L15" s="366"/>
      <c r="M15" s="21"/>
      <c r="O15" s="53"/>
      <c r="P15" s="16"/>
      <c r="Q15" s="292"/>
      <c r="R15" s="292"/>
    </row>
    <row r="16" spans="1:18">
      <c r="A16" s="19" t="e" vm="13">
        <v>#VALUE!</v>
      </c>
      <c r="B16" s="54">
        <v>217.42167565007125</v>
      </c>
      <c r="C16" s="282">
        <v>1175.5376591894601</v>
      </c>
      <c r="D16" s="54">
        <v>139.3636625491751</v>
      </c>
      <c r="E16" s="54">
        <v>75.052369014916536</v>
      </c>
      <c r="F16" s="54">
        <v>-486.77806730636996</v>
      </c>
      <c r="G16" s="54">
        <v>1392.9593348395313</v>
      </c>
      <c r="H16" s="54">
        <v>-272.36203574227829</v>
      </c>
      <c r="I16" s="54">
        <v>-0.19552762879015012</v>
      </c>
      <c r="J16" s="54">
        <v>3.87109924668228</v>
      </c>
      <c r="K16" s="54">
        <v>-0.75690685651512268</v>
      </c>
      <c r="L16" s="366"/>
      <c r="M16" s="21"/>
      <c r="O16" s="53"/>
      <c r="P16" s="16"/>
      <c r="Q16" s="292"/>
      <c r="R16" s="292"/>
    </row>
    <row r="17" spans="1:18">
      <c r="A17" s="19" t="e" vm="14">
        <v>#VALUE!</v>
      </c>
      <c r="B17" s="54">
        <v>217.42167565007125</v>
      </c>
      <c r="C17" s="282">
        <v>0</v>
      </c>
      <c r="D17" s="54">
        <v>6.0934294670376454</v>
      </c>
      <c r="E17" s="54">
        <v>28.7420362406652</v>
      </c>
      <c r="F17" s="54">
        <v>0</v>
      </c>
      <c r="G17" s="54">
        <v>217.42167565007125</v>
      </c>
      <c r="H17" s="54">
        <v>34.835465707702845</v>
      </c>
      <c r="I17" s="54">
        <v>0.1602207581353052</v>
      </c>
      <c r="J17" s="54">
        <v>0</v>
      </c>
      <c r="K17" s="54">
        <v>0</v>
      </c>
      <c r="L17" s="366"/>
      <c r="O17" s="53"/>
      <c r="P17" s="16"/>
      <c r="Q17" s="292"/>
      <c r="R17" s="292"/>
    </row>
    <row r="18" spans="1:18">
      <c r="A18" s="19" t="e" vm="15">
        <v>#VALUE!</v>
      </c>
      <c r="B18" s="54">
        <v>217.42167565007125</v>
      </c>
      <c r="C18" s="282">
        <v>2474.6953717491951</v>
      </c>
      <c r="D18" s="54">
        <v>405.45280617563196</v>
      </c>
      <c r="E18" s="54">
        <v>1779.9051115218542</v>
      </c>
      <c r="F18" s="54">
        <v>-1021.9122359637374</v>
      </c>
      <c r="G18" s="54">
        <v>2692.1170473992665</v>
      </c>
      <c r="H18" s="54">
        <v>1163.4456817337489</v>
      </c>
      <c r="I18" s="54">
        <v>0.43216756970418563</v>
      </c>
      <c r="J18" s="54">
        <v>3.5637498225312396</v>
      </c>
      <c r="K18" s="54">
        <v>1.5401370998370485</v>
      </c>
      <c r="L18" s="326"/>
      <c r="M18" s="21"/>
      <c r="O18" s="53"/>
      <c r="P18" s="16"/>
      <c r="Q18" s="292"/>
      <c r="R18" s="292"/>
    </row>
    <row r="19" spans="1:18">
      <c r="A19" s="107" t="s">
        <v>585</v>
      </c>
      <c r="B19" s="325"/>
      <c r="C19" s="325"/>
      <c r="D19" s="326"/>
      <c r="E19" s="326"/>
      <c r="F19" s="326"/>
      <c r="G19" s="326"/>
      <c r="H19" s="326"/>
      <c r="I19" s="326"/>
      <c r="J19" s="326"/>
      <c r="K19" s="326"/>
      <c r="L19" s="366"/>
      <c r="M19" s="21"/>
      <c r="O19" s="53"/>
      <c r="P19" s="16"/>
      <c r="Q19" s="292"/>
      <c r="R19" s="292"/>
    </row>
    <row r="20" spans="1:18" ht="17">
      <c r="A20" s="66" t="e" vm="16">
        <v>#VALUE!</v>
      </c>
      <c r="B20" s="54">
        <v>217.42167565007125</v>
      </c>
      <c r="C20" s="282">
        <v>1669.2803117588151</v>
      </c>
      <c r="D20" s="54">
        <v>211.45742105755014</v>
      </c>
      <c r="E20" s="54">
        <v>449.74066492566675</v>
      </c>
      <c r="F20" s="54">
        <v>-696.89565625278351</v>
      </c>
      <c r="G20" s="54">
        <v>1886.7019874088862</v>
      </c>
      <c r="H20" s="54">
        <v>-35.697570269566654</v>
      </c>
      <c r="I20" s="54">
        <v>-1.8920619423628281E-2</v>
      </c>
      <c r="J20" s="54">
        <v>3.6623716974679192</v>
      </c>
      <c r="K20" s="54">
        <v>-6.9294341075657989E-2</v>
      </c>
      <c r="L20" s="366"/>
      <c r="M20" s="21"/>
      <c r="O20" s="53"/>
      <c r="P20" s="16"/>
      <c r="Q20" s="292"/>
      <c r="R20" s="292"/>
    </row>
    <row r="21" spans="1:18" ht="17">
      <c r="A21" s="66" t="e" vm="17">
        <v>#VALUE!</v>
      </c>
      <c r="B21" s="54">
        <v>217.42167565007125</v>
      </c>
      <c r="C21" s="282">
        <v>1698.7812930933949</v>
      </c>
      <c r="D21" s="54">
        <v>212.9195960499186</v>
      </c>
      <c r="E21" s="54">
        <v>275.69778919938693</v>
      </c>
      <c r="F21" s="54">
        <v>-719.09688521269675</v>
      </c>
      <c r="G21" s="54">
        <v>1916.202968743466</v>
      </c>
      <c r="H21" s="54">
        <v>-230.47949996339122</v>
      </c>
      <c r="I21" s="54">
        <v>-0.12027927298042243</v>
      </c>
      <c r="J21" s="54">
        <v>3.6047983108283286</v>
      </c>
      <c r="K21" s="54">
        <v>-0.43358252006748621</v>
      </c>
      <c r="L21" s="366"/>
      <c r="M21" s="21"/>
      <c r="O21" s="53"/>
      <c r="P21" s="16"/>
      <c r="Q21" s="292"/>
      <c r="R21" s="292"/>
    </row>
    <row r="22" spans="1:18">
      <c r="A22" s="87" t="e" vm="18">
        <v>#VALUE!</v>
      </c>
      <c r="B22" s="54">
        <v>217.42167565007125</v>
      </c>
      <c r="C22" s="282">
        <v>1975.1338802758619</v>
      </c>
      <c r="D22" s="54">
        <v>206.79415908420009</v>
      </c>
      <c r="E22" s="54">
        <v>348.0235770745652</v>
      </c>
      <c r="F22" s="54">
        <v>-798.91280753792853</v>
      </c>
      <c r="G22" s="54">
        <v>2192.5555559259333</v>
      </c>
      <c r="H22" s="54">
        <v>-244.0950713791633</v>
      </c>
      <c r="I22" s="54">
        <v>-0.11132902458021414</v>
      </c>
      <c r="J22" s="54">
        <v>3.7125994229837547</v>
      </c>
      <c r="K22" s="54">
        <v>-0.41332007241784724</v>
      </c>
      <c r="L22" s="366"/>
      <c r="M22" s="21"/>
      <c r="O22" s="53"/>
      <c r="P22" s="16"/>
      <c r="Q22" s="292"/>
      <c r="R22" s="292"/>
    </row>
    <row r="23" spans="1:18">
      <c r="A23" s="63" t="e" vm="19">
        <v>#VALUE!</v>
      </c>
      <c r="B23" s="54">
        <v>217.42167565007125</v>
      </c>
      <c r="C23" s="282">
        <v>1628.1485757036967</v>
      </c>
      <c r="D23" s="54">
        <v>207.58706067333461</v>
      </c>
      <c r="E23" s="54">
        <v>44.645204974498753</v>
      </c>
      <c r="F23" s="54">
        <v>-678.87075133127371</v>
      </c>
      <c r="G23" s="54">
        <v>1845.5702513537678</v>
      </c>
      <c r="H23" s="54">
        <v>-426.63848568344036</v>
      </c>
      <c r="I23" s="54">
        <v>-0.23116892210984183</v>
      </c>
      <c r="J23" s="54">
        <v>3.6776496434845694</v>
      </c>
      <c r="K23" s="54">
        <v>-0.8501583039819719</v>
      </c>
      <c r="L23" s="366"/>
      <c r="M23" s="21"/>
      <c r="O23" s="53"/>
      <c r="P23" s="16"/>
      <c r="Q23" s="292"/>
      <c r="R23" s="292"/>
    </row>
    <row r="24" spans="1:18">
      <c r="A24" s="63" t="e" vm="20">
        <v>#VALUE!</v>
      </c>
      <c r="B24" s="54">
        <v>217.42167565007125</v>
      </c>
      <c r="C24" s="282">
        <v>1224.7199441633215</v>
      </c>
      <c r="D24" s="54">
        <v>211.95451450820352</v>
      </c>
      <c r="E24" s="54">
        <v>256.01015447268395</v>
      </c>
      <c r="F24" s="54">
        <v>-514.97838943949978</v>
      </c>
      <c r="G24" s="54">
        <v>1442.1416198133927</v>
      </c>
      <c r="H24" s="54">
        <v>-47.013720458612283</v>
      </c>
      <c r="I24" s="54">
        <v>-3.2599933191509771E-2</v>
      </c>
      <c r="J24" s="54">
        <v>3.7883123147336901</v>
      </c>
      <c r="K24" s="54">
        <v>-0.12349872836889202</v>
      </c>
      <c r="L24" s="366"/>
      <c r="M24" s="21"/>
      <c r="N24" s="54"/>
      <c r="O24" s="53"/>
      <c r="P24" s="16"/>
      <c r="Q24" s="292"/>
      <c r="R24" s="292"/>
    </row>
    <row r="25" spans="1:18" ht="17">
      <c r="A25" s="66" t="e" vm="21">
        <v>#VALUE!</v>
      </c>
      <c r="B25" s="54">
        <v>217.42167565007125</v>
      </c>
      <c r="C25" s="282">
        <v>1313.7363779569982</v>
      </c>
      <c r="D25" s="54">
        <v>209.22063828937766</v>
      </c>
      <c r="E25" s="54">
        <v>287.17391985115898</v>
      </c>
      <c r="F25" s="54">
        <v>-554.27914657239819</v>
      </c>
      <c r="G25" s="54">
        <v>1531.1580536070694</v>
      </c>
      <c r="H25" s="54">
        <v>-57.884588431861516</v>
      </c>
      <c r="I25" s="54">
        <v>-3.7804450230006129E-2</v>
      </c>
      <c r="J25" s="54">
        <v>3.7369591736225622</v>
      </c>
      <c r="K25" s="54">
        <v>-0.14127368709077898</v>
      </c>
      <c r="L25" s="366"/>
      <c r="M25" s="21"/>
      <c r="O25" s="53"/>
      <c r="P25" s="16"/>
      <c r="Q25" s="292"/>
      <c r="R25" s="292"/>
    </row>
    <row r="26" spans="1:18">
      <c r="A26" s="63" t="e" vm="22">
        <v>#VALUE!</v>
      </c>
      <c r="B26" s="54">
        <v>217.42167565007125</v>
      </c>
      <c r="C26" s="282">
        <v>1792.192206478765</v>
      </c>
      <c r="D26" s="54">
        <v>207.81167711762077</v>
      </c>
      <c r="E26" s="54">
        <v>316.35112090192376</v>
      </c>
      <c r="F26" s="54">
        <v>-741.19985082381777</v>
      </c>
      <c r="G26" s="54">
        <v>2009.6138821288362</v>
      </c>
      <c r="H26" s="54">
        <v>-217.03705280427323</v>
      </c>
      <c r="I26" s="54">
        <v>-0.10799937974869095</v>
      </c>
      <c r="J26" s="54">
        <v>3.667787521882159</v>
      </c>
      <c r="K26" s="54">
        <v>-0.3961187774132614</v>
      </c>
      <c r="L26" s="366"/>
      <c r="M26" s="21"/>
      <c r="N26" s="54"/>
      <c r="O26" s="53"/>
      <c r="P26" s="16"/>
      <c r="Q26" s="292"/>
      <c r="R26" s="292"/>
    </row>
    <row r="27" spans="1:18">
      <c r="A27" s="63" t="e" vm="23">
        <v>#VALUE!</v>
      </c>
      <c r="B27" s="54">
        <v>217.42167565007125</v>
      </c>
      <c r="C27" s="282">
        <v>1381.0691919293499</v>
      </c>
      <c r="D27" s="54">
        <v>212.05577325582775</v>
      </c>
      <c r="E27" s="54">
        <v>252.64224418645972</v>
      </c>
      <c r="F27" s="54">
        <v>-580.14410746560645</v>
      </c>
      <c r="G27" s="54">
        <v>1598.4908675794211</v>
      </c>
      <c r="H27" s="54">
        <v>-115.44609002331902</v>
      </c>
      <c r="I27" s="54">
        <v>-7.2221926546341728E-2</v>
      </c>
      <c r="J27" s="54">
        <v>3.7273583132467691</v>
      </c>
      <c r="K27" s="54">
        <v>-0.26919699831120436</v>
      </c>
      <c r="L27" s="366"/>
      <c r="M27" s="21"/>
      <c r="O27" s="53"/>
      <c r="P27" s="16"/>
      <c r="Q27" s="292"/>
      <c r="R27" s="292"/>
    </row>
    <row r="28" spans="1:18">
      <c r="A28" s="63" t="e" vm="24">
        <v>#VALUE!</v>
      </c>
      <c r="B28" s="54">
        <v>217.42167565007125</v>
      </c>
      <c r="C28" s="282">
        <v>1986.0838598126634</v>
      </c>
      <c r="D28" s="54">
        <v>205.07127188336617</v>
      </c>
      <c r="E28" s="54">
        <v>890.09590334677932</v>
      </c>
      <c r="F28" s="54">
        <v>-826.24116816643357</v>
      </c>
      <c r="G28" s="54">
        <v>2203.5055354627348</v>
      </c>
      <c r="H28" s="54">
        <v>268.92600706371184</v>
      </c>
      <c r="I28" s="54">
        <v>0.12204462513738934</v>
      </c>
      <c r="J28" s="54">
        <v>3.6077313090574354</v>
      </c>
      <c r="K28" s="54">
        <v>0.44030421521033763</v>
      </c>
      <c r="L28" s="366"/>
      <c r="M28" s="21"/>
      <c r="N28" s="53"/>
      <c r="O28" s="53"/>
      <c r="P28" s="16"/>
      <c r="Q28" s="292"/>
      <c r="R28" s="292"/>
    </row>
    <row r="29" spans="1:18">
      <c r="A29" s="63" t="e" vm="25">
        <v>#VALUE!</v>
      </c>
      <c r="B29" s="54">
        <v>217.42167565007125</v>
      </c>
      <c r="C29" s="282">
        <v>2091.1657643539015</v>
      </c>
      <c r="D29" s="54">
        <v>204.75833612156114</v>
      </c>
      <c r="E29" s="54">
        <v>99.434530138235274</v>
      </c>
      <c r="F29" s="54">
        <v>-875.81588785861447</v>
      </c>
      <c r="G29" s="54">
        <v>2308.5874400039729</v>
      </c>
      <c r="H29" s="54">
        <v>-571.62302159881801</v>
      </c>
      <c r="I29" s="54">
        <v>-0.24760726481204207</v>
      </c>
      <c r="J29" s="54">
        <v>3.5658279026653026</v>
      </c>
      <c r="K29" s="54">
        <v>-0.88292489376941607</v>
      </c>
      <c r="L29" s="366"/>
      <c r="M29" s="21"/>
      <c r="O29" s="53"/>
      <c r="P29" s="16"/>
      <c r="Q29" s="292"/>
      <c r="R29" s="292"/>
    </row>
    <row r="30" spans="1:18">
      <c r="A30" s="63" t="e" vm="26">
        <v>#VALUE!</v>
      </c>
      <c r="B30" s="54">
        <v>217.42167565007125</v>
      </c>
      <c r="C30" s="282">
        <v>2363.421534214825</v>
      </c>
      <c r="D30" s="54">
        <v>206.58614870704966</v>
      </c>
      <c r="E30" s="54">
        <v>895.63984694817304</v>
      </c>
      <c r="F30" s="54">
        <v>-979.02077799206427</v>
      </c>
      <c r="G30" s="54">
        <v>2580.8432098648964</v>
      </c>
      <c r="H30" s="54">
        <v>123.20521766315846</v>
      </c>
      <c r="I30" s="54">
        <v>4.7738358220377163E-2</v>
      </c>
      <c r="J30" s="54">
        <v>3.5661251645459697</v>
      </c>
      <c r="K30" s="54">
        <v>0.17024096056379695</v>
      </c>
      <c r="L30" s="366"/>
      <c r="M30" s="21"/>
      <c r="O30" s="53"/>
      <c r="P30" s="16"/>
      <c r="Q30" s="292"/>
      <c r="R30" s="292"/>
    </row>
    <row r="31" spans="1:18">
      <c r="A31" s="63" t="e" vm="27">
        <v>#VALUE!</v>
      </c>
      <c r="B31" s="54">
        <v>217.42167565007125</v>
      </c>
      <c r="C31" s="282">
        <v>1635.3382800092918</v>
      </c>
      <c r="D31" s="54">
        <v>212.57342638993453</v>
      </c>
      <c r="E31" s="54">
        <v>200.19858529435288</v>
      </c>
      <c r="F31" s="54">
        <v>-694.05912401268768</v>
      </c>
      <c r="G31" s="54">
        <v>1852.759955659363</v>
      </c>
      <c r="H31" s="54">
        <v>-281.28711232840027</v>
      </c>
      <c r="I31" s="54">
        <v>-0.15182059147446081</v>
      </c>
      <c r="J31" s="54">
        <v>3.6111835019124112</v>
      </c>
      <c r="K31" s="54">
        <v>-0.54825201518315692</v>
      </c>
      <c r="L31" s="366"/>
      <c r="O31" s="53"/>
      <c r="P31" s="16"/>
      <c r="Q31" s="292"/>
      <c r="R31" s="292"/>
    </row>
    <row r="32" spans="1:18">
      <c r="A32" s="63" t="e" vm="28">
        <v>#VALUE!</v>
      </c>
      <c r="B32" s="54">
        <v>217.42167565007125</v>
      </c>
      <c r="C32" s="282">
        <v>1924.0438288494497</v>
      </c>
      <c r="D32" s="54">
        <v>209.64537921138978</v>
      </c>
      <c r="E32" s="54">
        <v>675.17816838522344</v>
      </c>
      <c r="F32" s="54">
        <v>-800.66507731012746</v>
      </c>
      <c r="G32" s="54">
        <v>2141.4655044995211</v>
      </c>
      <c r="H32" s="54">
        <v>84.158470286485795</v>
      </c>
      <c r="I32" s="54">
        <v>3.9299475106956881E-2</v>
      </c>
      <c r="J32" s="54">
        <v>3.6181541558338375</v>
      </c>
      <c r="K32" s="54">
        <v>0.1421915591803245</v>
      </c>
      <c r="L32" s="366"/>
      <c r="M32" s="21"/>
      <c r="O32" s="53"/>
      <c r="P32" s="16"/>
      <c r="Q32" s="292"/>
      <c r="R32" s="292"/>
    </row>
    <row r="33" spans="1:18">
      <c r="A33" s="63" t="e" vm="29">
        <v>#VALUE!</v>
      </c>
      <c r="B33" s="54">
        <v>217.42167565007125</v>
      </c>
      <c r="C33" s="282">
        <v>1907.6125166202185</v>
      </c>
      <c r="D33" s="54">
        <v>203.62171023547566</v>
      </c>
      <c r="E33" s="54">
        <v>244.91593155693482</v>
      </c>
      <c r="F33" s="54">
        <v>-785.38392743955524</v>
      </c>
      <c r="G33" s="54">
        <v>2125.0341922702896</v>
      </c>
      <c r="H33" s="54">
        <v>-336.84628564714478</v>
      </c>
      <c r="I33" s="54">
        <v>-0.15851334857218161</v>
      </c>
      <c r="J33" s="54">
        <v>3.6602502820217953</v>
      </c>
      <c r="K33" s="54">
        <v>-0.58019852881554679</v>
      </c>
      <c r="L33" s="366"/>
      <c r="M33" s="21"/>
      <c r="O33" s="53"/>
      <c r="P33" s="16"/>
      <c r="Q33" s="292"/>
      <c r="R33" s="292"/>
    </row>
    <row r="34" spans="1:18">
      <c r="A34" s="63" t="e" vm="30">
        <v>#VALUE!</v>
      </c>
      <c r="B34" s="54">
        <v>217.42167565007125</v>
      </c>
      <c r="C34" s="282">
        <v>1524.4194583444748</v>
      </c>
      <c r="D34" s="54">
        <v>215.88208002971368</v>
      </c>
      <c r="E34" s="54">
        <v>341.64082432011304</v>
      </c>
      <c r="F34" s="54">
        <v>-642.05304967022619</v>
      </c>
      <c r="G34" s="54">
        <v>1741.841133994546</v>
      </c>
      <c r="H34" s="54">
        <v>-84.53014532039947</v>
      </c>
      <c r="I34" s="54">
        <v>-4.8529193432553387E-2</v>
      </c>
      <c r="J34" s="54">
        <v>3.6699867724030417</v>
      </c>
      <c r="K34" s="54">
        <v>-0.17810149797285948</v>
      </c>
      <c r="L34" s="366"/>
      <c r="M34" s="21"/>
      <c r="O34" s="53"/>
      <c r="P34" s="16"/>
      <c r="Q34" s="292"/>
      <c r="R34" s="292"/>
    </row>
    <row r="35" spans="1:18">
      <c r="A35" s="63" t="e" vm="31">
        <v>#VALUE!</v>
      </c>
      <c r="B35" s="54">
        <v>217.42167565007125</v>
      </c>
      <c r="C35" s="282">
        <v>2061.9351968839046</v>
      </c>
      <c r="D35" s="54">
        <v>202.68094708411149</v>
      </c>
      <c r="E35" s="54">
        <v>394.9744431273362</v>
      </c>
      <c r="F35" s="54">
        <v>-832.69313122353628</v>
      </c>
      <c r="G35" s="54">
        <v>2279.356872533976</v>
      </c>
      <c r="H35" s="54">
        <v>-235.03774101208865</v>
      </c>
      <c r="I35" s="54">
        <v>-0.10311581474769049</v>
      </c>
      <c r="J35" s="54">
        <v>3.7030042827620866</v>
      </c>
      <c r="K35" s="54">
        <v>-0.3818383036311998</v>
      </c>
      <c r="L35" s="366"/>
      <c r="M35" s="21"/>
      <c r="O35" s="53"/>
      <c r="P35" s="16"/>
      <c r="Q35" s="292"/>
      <c r="R35" s="292"/>
    </row>
    <row r="36" spans="1:18">
      <c r="A36" s="63" t="e" vm="32">
        <v>#VALUE!</v>
      </c>
      <c r="B36" s="54">
        <v>217.42167565007125</v>
      </c>
      <c r="C36" s="282">
        <v>1654.6828406103918</v>
      </c>
      <c r="D36" s="54">
        <v>207.96140839520393</v>
      </c>
      <c r="E36" s="54">
        <v>391.42688510971089</v>
      </c>
      <c r="F36" s="54">
        <v>-694.98093017923986</v>
      </c>
      <c r="G36" s="54">
        <v>1872.104516260463</v>
      </c>
      <c r="H36" s="54">
        <v>-95.592636674325036</v>
      </c>
      <c r="I36" s="54">
        <v>-5.1061591831032892E-2</v>
      </c>
      <c r="J36" s="54">
        <v>3.6440478643077463</v>
      </c>
      <c r="K36" s="54">
        <v>-0.18607088466002925</v>
      </c>
      <c r="L36" s="366"/>
    </row>
    <row r="37" spans="1:18">
      <c r="A37" s="63" t="e" vm="33">
        <v>#VALUE!</v>
      </c>
      <c r="B37" s="54">
        <v>217.42167565007125</v>
      </c>
      <c r="C37" s="282">
        <v>1864.7253440256234</v>
      </c>
      <c r="D37" s="54">
        <v>214.73296897962689</v>
      </c>
      <c r="E37" s="54">
        <v>849.05594078584397</v>
      </c>
      <c r="F37" s="54">
        <v>-759.26650130462315</v>
      </c>
      <c r="G37" s="54">
        <v>2082.1470196756945</v>
      </c>
      <c r="H37" s="54">
        <v>304.52240846084771</v>
      </c>
      <c r="I37" s="54">
        <v>0.14625403757909405</v>
      </c>
      <c r="J37" s="54">
        <v>3.7097446922049251</v>
      </c>
      <c r="K37" s="54">
        <v>0.54256513962258379</v>
      </c>
      <c r="L37" s="366"/>
      <c r="M37" s="21"/>
      <c r="N37" s="21"/>
      <c r="O37" s="53"/>
      <c r="P37" s="16"/>
    </row>
    <row r="38" spans="1:18">
      <c r="A38" s="63" t="e" vm="34">
        <v>#VALUE!</v>
      </c>
      <c r="B38" s="54">
        <v>217.42167565007125</v>
      </c>
      <c r="C38" s="282">
        <v>1471.6876161452267</v>
      </c>
      <c r="D38" s="54">
        <v>204.29239258829918</v>
      </c>
      <c r="E38" s="54">
        <v>351.40057510612939</v>
      </c>
      <c r="F38" s="54">
        <v>-613.9096057322804</v>
      </c>
      <c r="G38" s="54">
        <v>1689.1092917952978</v>
      </c>
      <c r="H38" s="54">
        <v>-58.216638037851794</v>
      </c>
      <c r="I38" s="54">
        <v>-3.4465879928927079E-2</v>
      </c>
      <c r="J38" s="54">
        <v>3.7220327660446695</v>
      </c>
      <c r="K38" s="54">
        <v>-0.12828313440602793</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35A07E3-3F43-A642-8DE2-02A0DC82569F}">
  <sheetPr codeName="Sheet25"/>
  <dimension ref="A1:Q36"/>
  <sheetViews>
    <sheetView workbookViewId="0">
      <selection activeCell="M18" sqref="M18"/>
    </sheetView>
  </sheetViews>
  <sheetFormatPr baseColWidth="10" defaultRowHeight="16"/>
  <cols>
    <col min="1" max="1" width="15.83203125" customWidth="1"/>
    <col min="2" max="2" width="10.83203125" customWidth="1"/>
    <col min="6" max="7" width="17.6640625" bestFit="1" customWidth="1"/>
    <col min="14" max="14" width="32.5" customWidth="1"/>
    <col min="15" max="15" width="29.6640625" customWidth="1"/>
    <col min="16" max="16" width="29.33203125" customWidth="1"/>
    <col min="17" max="17" width="44.1640625" customWidth="1"/>
  </cols>
  <sheetData>
    <row r="1" spans="1:17">
      <c r="A1" s="501" t="s">
        <v>841</v>
      </c>
    </row>
    <row r="2" spans="1:17">
      <c r="B2" s="647" t="s">
        <v>579</v>
      </c>
      <c r="C2" s="647"/>
      <c r="D2" s="647"/>
      <c r="E2" s="647"/>
      <c r="F2" s="647" t="s">
        <v>601</v>
      </c>
      <c r="G2" s="647"/>
      <c r="H2" s="647"/>
      <c r="I2" s="647"/>
      <c r="J2" s="647" t="s">
        <v>800</v>
      </c>
      <c r="K2" s="647"/>
      <c r="L2" s="647"/>
      <c r="M2" s="647"/>
      <c r="N2" s="647" t="s">
        <v>799</v>
      </c>
      <c r="O2" s="647"/>
      <c r="P2" s="647"/>
    </row>
    <row r="3" spans="1:17" ht="17">
      <c r="B3" s="145" t="s">
        <v>10</v>
      </c>
      <c r="C3" s="146" t="s">
        <v>42</v>
      </c>
      <c r="D3" s="147" t="s">
        <v>12</v>
      </c>
      <c r="E3" s="148" t="s">
        <v>13</v>
      </c>
      <c r="F3" s="145" t="s">
        <v>10</v>
      </c>
      <c r="G3" s="146" t="s">
        <v>42</v>
      </c>
      <c r="H3" s="147" t="s">
        <v>12</v>
      </c>
      <c r="I3" s="148" t="s">
        <v>13</v>
      </c>
      <c r="J3" s="145" t="s">
        <v>10</v>
      </c>
      <c r="K3" s="146" t="s">
        <v>42</v>
      </c>
      <c r="L3" s="147" t="s">
        <v>12</v>
      </c>
      <c r="M3" s="148" t="s">
        <v>13</v>
      </c>
      <c r="N3" s="1" t="s">
        <v>796</v>
      </c>
      <c r="O3" s="1" t="s">
        <v>797</v>
      </c>
      <c r="P3" s="1" t="s">
        <v>798</v>
      </c>
      <c r="Q3" s="298" t="s">
        <v>202</v>
      </c>
    </row>
    <row r="4" spans="1:17" ht="17">
      <c r="A4" t="s">
        <v>349</v>
      </c>
      <c r="B4" s="53" cm="1">
        <f t="array" ref="B4">SUM(_xlfn.XLOOKUP(Q4:Q36,'Auto - résumé'!A3:A38,'Auto - résumé'!M3:M38,0)*_xlfn.XLOOKUP(Q4:Q36,'Clés de répartition'!A134:A169,'Clés de répartition'!D134:D169,0)*_xlfn.XLOOKUP(Q4:Q36,'Clés de répartition'!A50:A85,'Clés de répartition'!B50:B85,0)*_xlfn.XLOOKUP(Q4:Q36,'Clés de répartition'!A93:A128,'Clés de répartition'!F93:F128,0))/SUM(_xlfn.XLOOKUP(Q4:Q36,'Clés de répartition'!A93:A128,'Clés de répartition'!F93:F128,0)*_xlfn.XLOOKUP(Q4:Q36,'Clés de répartition'!A134:A169,'Clés de répartition'!D134:D169,0)*_xlfn.XLOOKUP(Q4:Q36,'Clés de répartition'!A50:A85,'Clés de répartition'!B50:B85,0))</f>
        <v>1.5076670395660869</v>
      </c>
      <c r="C4" s="54" cm="1">
        <f t="array" ref="C4">SUM(_xlfn.XLOOKUP(Q4:Q36,'TC - résumé'!A3:A38,'TC - résumé'!L3:L38,0)*_xlfn.XLOOKUP(Q4:Q36,'Clés de répartition'!A134:A169,'Clés de répartition'!D134:D169,0)*_xlfn.XLOOKUP(Q4:Q36,'Clés de répartition'!A50:A85,'Clés de répartition'!C50:C85,0)*_xlfn.XLOOKUP(Q4:Q36,'Clés de répartition'!A93:A128,'Clés de répartition'!G93:G128,0))/SUM(_xlfn.XLOOKUP(Q4:Q36,'Clés de répartition'!A93:A128,'Clés de répartition'!G93:G128,0)*_xlfn.XLOOKUP(Q4:Q36,'Clés de répartition'!A134:A169,'Clés de répartition'!D134:D169,0)*_xlfn.XLOOKUP(Q4:Q36,'Clés de répartition'!A50:A85,'Clés de répartition'!C50:C85,0))</f>
        <v>0.50928028048363549</v>
      </c>
      <c r="D4" s="54" cm="1">
        <f t="array" ref="D4">SUM(_xlfn.XLOOKUP(Q4:Q36,'Vélo - résumé'!A3:A38,'Vélo - résumé'!L3:L38,0)*_xlfn.XLOOKUP(Q4:Q36,'Clés de répartition'!A134:A169,'Clés de répartition'!D134:D169,0)*_xlfn.XLOOKUP(Q4:Q36,'Clés de répartition'!A50:A85,'Clés de répartition'!D50:D85,0)*_xlfn.XLOOKUP(Q4:Q36,'Clés de répartition'!A93:A128,'Clés de répartition'!H93:H128,0))/SUM(_xlfn.XLOOKUP(Q4:Q36,'Clés de répartition'!A93:A128,'Clés de répartition'!H93:H128,0)*_xlfn.XLOOKUP(Q4:Q36,'Clés de répartition'!A134:A169,'Clés de répartition'!D134:D169,0)*_xlfn.XLOOKUP(Q4:Q36,'Clés de répartition'!A50:A85,'Clés de répartition'!D50:D85,0))</f>
        <v>-0.12939605703662457</v>
      </c>
      <c r="E4" s="54" cm="1">
        <f t="array" ref="E4">SUM(_xlfn.XLOOKUP(Q4:Q36,'Marche - résumé'!A3:A38,'Marche - résumé'!K3:K38,0)*_xlfn.XLOOKUP(Q4:Q36,'Clés de répartition'!A134:A169,'Clés de répartition'!D134:D169,0)*_xlfn.XLOOKUP(Q4:Q36,'Clés de répartition'!A50:A85,'Clés de répartition'!E50:E85,0)*_xlfn.XLOOKUP(Q4:Q36,'Clés de répartition'!A93:A128,'Clés de répartition'!I93:I128,0))/SUM(_xlfn.XLOOKUP(Q4:Q36,'Clés de répartition'!A134:A169,'Clés de répartition'!D134:D169,0)*_xlfn.XLOOKUP(Q4:Q36,'Clés de répartition'!A50:A85,'Clés de répartition'!E50:E85,0)*_xlfn.XLOOKUP(Q4:Q36,'Clés de répartition'!A93:A128,'Clés de répartition'!I93:I128,0))</f>
        <v>-4.8869972024744385E-2</v>
      </c>
      <c r="F4" s="54" cm="1">
        <f t="array" ref="F4">SUM(_xlfn.XLOOKUP(Q4:Q36,'Auto - résumé'!A3:A38,'Auto - résumé'!J3:J38)*_xlfn.XLOOKUP(Q4:Q36,'Clés de répartition'!A134:A169,'Clés de répartition'!D134:D169)*_xlfn.XLOOKUP(Q4:Q36,'Clés de répartition'!A50:A85,'Clés de répartition'!B50:B85))/SUM(_xlfn.XLOOKUP(Q4:Q36,'Auto - résumé'!A3:A38,'Auto - résumé'!I3:I38)*_xlfn.XLOOKUP(Q4:Q36,'Clés de répartition'!A134:A169,'Clés de répartition'!D134:D169)*_xlfn.XLOOKUP(Q4:Q36,'Clés de répartition'!A50:A85,'Clés de répartition'!B50:B85))</f>
        <v>1.5515629940752931</v>
      </c>
      <c r="G4" s="54" cm="1">
        <f t="array" ref="G4">SUM(_xlfn.XLOOKUP(Q4:Q36,'TC - résumé'!A3:A38,'TC - résumé'!I3:I38)*_xlfn.XLOOKUP(Q4:Q36,'Clés de répartition'!A134:A169,'Clés de répartition'!D134:D169)*_xlfn.XLOOKUP(Q4:Q36,'Clés de répartition'!A50:A85,'Clés de répartition'!C50:C85))/SUM(_xlfn.XLOOKUP(Q4:Q36,'TC - résumé'!A3:A38,'TC - résumé'!H3:H38)*_xlfn.XLOOKUP(Q4:Q36,'Clés de répartition'!A134:A169,'Clés de répartition'!D134:D169)*_xlfn.XLOOKUP(Q4:Q36,'Clés de répartition'!A50:A85,'Clés de répartition'!C50:C85))</f>
        <v>0.49059618500494639</v>
      </c>
      <c r="H4" s="54" cm="1">
        <f t="array" ref="H4">SUM(_xlfn.XLOOKUP(Q4:Q36,'Vélo - résumé'!A3:A38,'Vélo - résumé'!I3:I38)*_xlfn.XLOOKUP(Q4:Q36,'Clés de répartition'!A134:A169,'Clés de répartition'!D134:D169)*_xlfn.XLOOKUP(Q4:Q36,'Clés de répartition'!A50:A85,'Clés de répartition'!D50:D85))/SUM(_xlfn.XLOOKUP(Q4:Q36,'Vélo - résumé'!A3:A38,'Vélo - résumé'!H3:H38)*_xlfn.XLOOKUP(Q4:Q36,'Clés de répartition'!A134:A169,'Clés de répartition'!D134:D169)*_xlfn.XLOOKUP(Q4:Q36,'Clés de répartition'!A50:A85,'Clés de répartition'!D50:D85))</f>
        <v>-0.12189410733979029</v>
      </c>
      <c r="I4" s="54" cm="1">
        <f t="array" ref="I4">SUM(_xlfn.XLOOKUP(Q4:Q36,'Marche - résumé'!A3:A38,'Marche - résumé'!H3:H38)*_xlfn.XLOOKUP(Q4:Q36,'Clés de répartition'!A134:A169,'Clés de répartition'!D134:D169)*_xlfn.XLOOKUP(Q4:Q36,'Clés de répartition'!A50:A85,'Clés de répartition'!E50:E85))/SUM(_xlfn.XLOOKUP(Q4:Q36,'Marche - résumé'!A3:A38,'Marche - résumé'!G3:G38)*_xlfn.XLOOKUP(Q4:Q36,'Clés de répartition'!A134:A169,'Clés de répartition'!D134:D169)*_xlfn.XLOOKUP(Q4:Q36,'Clés de répartition'!A50:A85,'Clés de répartition'!E50:E85))</f>
        <v>-1.3355600853784091E-2</v>
      </c>
      <c r="J4" s="54"/>
      <c r="K4" s="54"/>
      <c r="L4" s="54"/>
      <c r="M4" s="54"/>
      <c r="N4" s="66" t="e" vm="16">
        <v>#VALUE!</v>
      </c>
      <c r="O4" s="347" t="e" vm="9">
        <v>#VALUE!</v>
      </c>
      <c r="P4" s="347" t="e" vm="1">
        <v>#VALUE!</v>
      </c>
      <c r="Q4" s="347" t="e" vm="1">
        <v>#VALUE!</v>
      </c>
    </row>
    <row r="5" spans="1:17" ht="17">
      <c r="A5" t="s">
        <v>796</v>
      </c>
      <c r="B5" s="54" cm="1">
        <f t="array" ref="B5">SUM(_xlfn.XLOOKUP(N4:N16,'Auto - résumé'!A3:A38,'Auto - résumé'!M3:M38,0)*_xlfn.XLOOKUP(N4:N16,'Clés de répartition'!A134:A169,'Clés de répartition'!D134:D169,0)*_xlfn.XLOOKUP(N4:N16,'Clés de répartition'!A50:A85,'Clés de répartition'!B50:B85,0)*_xlfn.XLOOKUP(N4:N16,'Clés de répartition'!A93:A128,'Clés de répartition'!F93:F128,0))/SUM(_xlfn.XLOOKUP(N4:N16,'Clés de répartition'!A93:A128,'Clés de répartition'!F93:F128,0)*_xlfn.XLOOKUP(N4:N16,'Clés de répartition'!A134:A169,'Clés de répartition'!D134:D169,0)*_xlfn.XLOOKUP(N4:N16,'Clés de répartition'!A50:A85,'Clés de répartition'!B50:B85,0))</f>
        <v>1.8033741651989024</v>
      </c>
      <c r="C5" s="54" cm="1">
        <f t="array" ref="C5">SUM(_xlfn.XLOOKUP(N4:N16,'TC - résumé'!A3:A38,'TC - résumé'!L3:L38,0)*_xlfn.XLOOKUP(N4:N16,'Clés de répartition'!A134:A169,'Clés de répartition'!D134:D169,0)*_xlfn.XLOOKUP(N4:N16,'Clés de répartition'!A50:A85,'Clés de répartition'!C50:C85,0)*_xlfn.XLOOKUP(N4:N16,'Clés de répartition'!A93:A128,'Clés de répartition'!G93:G128,0))/SUM(_xlfn.XLOOKUP(N4:N16,'Clés de répartition'!A93:A128,'Clés de répartition'!G93:G128,0)*_xlfn.XLOOKUP(N4:N16,'Clés de répartition'!A134:A169,'Clés de répartition'!D134:D169,0)*_xlfn.XLOOKUP(N4:N16,'Clés de répartition'!A50:A85,'Clés de répartition'!C50:C85,0))</f>
        <v>0.60312289696965915</v>
      </c>
      <c r="D5" s="54" cm="1">
        <f t="array" ref="D5">SUM(_xlfn.XLOOKUP(N4:N16,'Vélo - résumé'!A3:A38,'Vélo - résumé'!L3:L38,0)*_xlfn.XLOOKUP(N4:N16,'Clés de répartition'!A134:A169,'Clés de répartition'!D134:D169,0)*_xlfn.XLOOKUP(N4:N16,'Clés de répartition'!A50:A85,'Clés de répartition'!D50:D85,0)*_xlfn.XLOOKUP(N4:N16,'Clés de répartition'!A93:A128,'Clés de répartition'!H93:H128,0))/SUM(_xlfn.XLOOKUP(N4:N16,'Clés de répartition'!A93:A128,'Clés de répartition'!H93:H128,0)*_xlfn.XLOOKUP(N4:N16,'Clés de répartition'!A134:A169,'Clés de répartition'!D134:D169,0)*_xlfn.XLOOKUP(N4:N16,'Clés de répartition'!A50:A85,'Clés de répartition'!D50:D85,0))</f>
        <v>-0.11901749294634223</v>
      </c>
      <c r="E5" s="54" cm="1">
        <f t="array" ref="E5">SUM(_xlfn.XLOOKUP(N4:N16,'Marche - résumé'!A3:A38,'Marche - résumé'!K3:K38,0)*_xlfn.XLOOKUP(N4:N16,'Clés de répartition'!A134:A169,'Clés de répartition'!D134:D169,0)*_xlfn.XLOOKUP(N4:N16,'Clés de répartition'!A50:A85,'Clés de répartition'!E50:E85,0)*_xlfn.XLOOKUP(N4:N16,'Clés de répartition'!A93:A128,'Clés de répartition'!I93:I128,0))/SUM(_xlfn.XLOOKUP(N4:N16,'Clés de répartition'!A134:A169,'Clés de répartition'!D134:D169,0)*_xlfn.XLOOKUP(N4:N16,'Clés de répartition'!A50:A85,'Clés de répartition'!E50:E85,0)*_xlfn.XLOOKUP(N4:N16,'Clés de répartition'!A93:A128,'Clés de répartition'!I93:I128,0))</f>
        <v>3.7863981892182486E-2</v>
      </c>
      <c r="F5" s="54" cm="1">
        <f t="array" ref="F5">SUM(_xlfn.XLOOKUP(N4:N16,'Auto - résumé'!A3:A38,'Auto - résumé'!J3:J38)*_xlfn.XLOOKUP(N4:N16,'Clés de répartition'!A134:A169,'Clés de répartition'!D134:D169)*_xlfn.XLOOKUP(N4:N16,'Clés de répartition'!A50:A85,'Clés de répartition'!B50:B85))/SUM(_xlfn.XLOOKUP(N4:N16,'Auto - résumé'!A3:A38,'Auto - résumé'!I3:I38)*_xlfn.XLOOKUP(N4:N16,'Clés de répartition'!A134:A169,'Clés de répartition'!D134:D169)*_xlfn.XLOOKUP(N4:N16,'Clés de répartition'!A50:A85,'Clés de répartition'!B50:B85))</f>
        <v>1.8219253724951481</v>
      </c>
      <c r="G5" s="54" cm="1">
        <f t="array" ref="G5">SUM(_xlfn.XLOOKUP(N4:N16,'TC - résumé'!A3:A38,'TC - résumé'!I3:I38)*_xlfn.XLOOKUP(N4:N16,'Clés de répartition'!A134:A169,'Clés de répartition'!D134:D169)*_xlfn.XLOOKUP(N4:N16,'Clés de répartition'!A50:A85,'Clés de répartition'!C50:C85))/SUM(_xlfn.XLOOKUP(N4:N16,'TC - résumé'!A3:A38,'TC - résumé'!H3:H38)*_xlfn.XLOOKUP(N4:N16,'Clés de répartition'!A134:A169,'Clés de répartition'!D134:D169)*_xlfn.XLOOKUP(N4:N16,'Clés de répartition'!A50:A85,'Clés de répartition'!C50:C85))</f>
        <v>0.54452162723503095</v>
      </c>
      <c r="H5" s="54" cm="1">
        <f t="array" ref="H5">SUM(_xlfn.XLOOKUP(N4:N16,'Vélo - résumé'!A3:A38,'Vélo - résumé'!I3:I38)*_xlfn.XLOOKUP(N4:N16,'Clés de répartition'!A134:A169,'Clés de répartition'!D134:D169)*_xlfn.XLOOKUP(N4:N16,'Clés de répartition'!A50:A85,'Clés de répartition'!D50:D85))/SUM(_xlfn.XLOOKUP(N4:N16,'Vélo - résumé'!A3:A38,'Vélo - résumé'!H3:H38)*_xlfn.XLOOKUP(N4:N16,'Clés de répartition'!A134:A169,'Clés de répartition'!D134:D169)*_xlfn.XLOOKUP(N4:N16,'Clés de répartition'!A50:A85,'Clés de répartition'!D50:D85))</f>
        <v>-0.11036129291335901</v>
      </c>
      <c r="I5" s="54" cm="1">
        <f t="array" ref="I5">SUM(LOOKUP(N4:N16,'Marche - résumé'!A3:A38,'Marche - résumé'!H3:H38)*LOOKUP(N4:N16,'Clés de répartition'!A134:A169,'Clés de répartition'!D134:D169)*LOOKUP(N4:N16,'Clés de répartition'!A50:A85,'Clés de répartition'!E50:E85))/SUM(LOOKUP(N4:N16,'Marche - résumé'!A3:A38,'Marche - résumé'!G3:G38)*LOOKUP(N4:N16,'Clés de répartition'!A134:A169,'Clés de répartition'!D134:D169)*LOOKUP(N4:N16,'Clés de répartition'!A50:A85,'Clés de répartition'!E50:E85))</f>
        <v>-2.1943647851034677E-2</v>
      </c>
      <c r="J5" s="16">
        <f t="shared" ref="J5:L7" si="0">(B5-B$4)/B$4</f>
        <v>0.19613556433383408</v>
      </c>
      <c r="K5" s="16">
        <f t="shared" si="0"/>
        <v>0.18426516808564919</v>
      </c>
      <c r="L5" s="16">
        <f t="shared" si="0"/>
        <v>-8.0207730652447698E-2</v>
      </c>
      <c r="M5" s="16">
        <f t="shared" ref="M5" si="1">(E5-E$4)/E$4</f>
        <v>-1.7747903328655636</v>
      </c>
      <c r="N5" s="347" t="e" vm="6">
        <v>#VALUE!</v>
      </c>
      <c r="O5" s="66" t="e" vm="17">
        <v>#VALUE!</v>
      </c>
      <c r="P5" s="347" t="e" vm="2">
        <v>#VALUE!</v>
      </c>
      <c r="Q5" s="347" t="e" vm="2">
        <v>#VALUE!</v>
      </c>
    </row>
    <row r="6" spans="1:17" ht="19" customHeight="1">
      <c r="A6" t="s">
        <v>797</v>
      </c>
      <c r="B6" s="53" cm="1">
        <f t="array" ref="B6">SUM(_xlfn.XLOOKUP(O4:O8,'Auto - résumé'!A3:A38,'Auto - résumé'!M3:M38,0)*_xlfn.XLOOKUP(O4:O8,'Clés de répartition'!A134:A169,'Clés de répartition'!D134:D169,0)*_xlfn.XLOOKUP(O4:O8,'Clés de répartition'!A50:A85,'Clés de répartition'!B50:B85,0)*_xlfn.XLOOKUP(O4:O8,'Clés de répartition'!A93:A128,'Clés de répartition'!F93:F128,0))/SUM(_xlfn.XLOOKUP(O4:O8,'Clés de répartition'!A93:A128,'Clés de répartition'!F93:F128,0)*_xlfn.XLOOKUP(O4:O8,'Clés de répartition'!A134:A169,'Clés de répartition'!D134:D169,0)*_xlfn.XLOOKUP(O4:O8,'Clés de répartition'!A50:A85,'Clés de répartition'!B50:B85,0))</f>
        <v>1.3846954041500665</v>
      </c>
      <c r="C6" s="54" cm="1">
        <f t="array" ref="C6">SUM(_xlfn.XLOOKUP(O4:O8,'TC - résumé'!A3:A38,'TC - résumé'!L3:L38,0)*_xlfn.XLOOKUP(O4:O8,'Clés de répartition'!A134:A169,'Clés de répartition'!D134:D169,0)*_xlfn.XLOOKUP(O4:O8,'Clés de répartition'!A50:A85,'Clés de répartition'!C50:C85,0)*_xlfn.XLOOKUP(O4:O8,'Clés de répartition'!A93:A128,'Clés de répartition'!G93:G128,0))/SUM(_xlfn.XLOOKUP(O4:O8,'Clés de répartition'!A93:A128,'Clés de répartition'!G93:G128,0)*_xlfn.XLOOKUP(O4:O8,'Clés de répartition'!A134:A169,'Clés de répartition'!D134:D169,0)*_xlfn.XLOOKUP(O4:O8,'Clés de répartition'!A50:A85,'Clés de répartition'!C50:C85,0))</f>
        <v>0.37640040346772075</v>
      </c>
      <c r="D6" s="54" cm="1">
        <f t="array" ref="D6">SUM(_xlfn.XLOOKUP(O4:O8,'Vélo - résumé'!A3:A38,'Vélo - résumé'!L3:L38,0)*_xlfn.XLOOKUP(O4:O8,'Clés de répartition'!A134:A169,'Clés de répartition'!D134:D169,0)*_xlfn.XLOOKUP(O4:O8,'Clés de répartition'!A50:A85,'Clés de répartition'!D50:D85,0)*_xlfn.XLOOKUP(O4:O8,'Clés de répartition'!A93:A128,'Clés de répartition'!H93:H128,0))/SUM(_xlfn.XLOOKUP(O4:O8,'Clés de répartition'!A93:A128,'Clés de répartition'!H93:H128,0)*_xlfn.XLOOKUP(O4:O8,'Clés de répartition'!A134:A169,'Clés de répartition'!D134:D169,0)*_xlfn.XLOOKUP(O4:O8,'Clés de répartition'!A50:A85,'Clés de répartition'!D50:D85,0))</f>
        <v>-0.29226528473473296</v>
      </c>
      <c r="E6" s="54" cm="1">
        <f t="array" ref="E6">SUM(_xlfn.XLOOKUP(O4:O8,'Marche - résumé'!A3:A38,'Marche - résumé'!K3:K38,0)*_xlfn.XLOOKUP(O4:O8,'Clés de répartition'!A134:A169,'Clés de répartition'!D134:D169,0)*_xlfn.XLOOKUP(O4:O8,'Clés de répartition'!A50:A85,'Clés de répartition'!E50:E85,0)*_xlfn.XLOOKUP(O4:O8,'Clés de répartition'!A93:A128,'Clés de répartition'!I93:I128,0))/SUM(_xlfn.XLOOKUP(O4:O8,'Clés de répartition'!A134:A169,'Clés de répartition'!D134:D169,0)*_xlfn.XLOOKUP(O4:O8,'Clés de répartition'!A50:A85,'Clés de répartition'!E50:E85,0)*_xlfn.XLOOKUP(O4:O8,'Clés de répartition'!A93:A128,'Clés de répartition'!I93:I128,0))</f>
        <v>-0.33443894837849042</v>
      </c>
      <c r="F6" s="54" cm="1">
        <f t="array" ref="F6">SUM(_xlfn.XLOOKUP(O4:O8,'Auto - résumé'!A3:A38,'Auto - résumé'!J3:J38)*_xlfn.XLOOKUP(O4:O8,'Clés de répartition'!A134:A169,'Clés de répartition'!D134:D169)*_xlfn.XLOOKUP(O4:O8,'Clés de répartition'!A50:A85,'Clés de répartition'!B50:B85))/(SUM(_xlfn.XLOOKUP(O4:O8,'Auto - résumé'!A3:A38,'Auto - résumé'!I3:I38)*_xlfn.XLOOKUP(O4:O8,'Clés de répartition'!A134:A169,'Clés de répartition'!D134:D169)*_xlfn.XLOOKUP(O4:O8,'Clés de répartition'!A50:A85,'Clés de répartition'!B50:B85)))</f>
        <v>1.4451002901295531</v>
      </c>
      <c r="G6" s="54" cm="1">
        <f t="array" ref="G6">SUM(_xlfn.XLOOKUP(O4:O8,'TC - résumé'!A3:A38,'TC - résumé'!I3:I38)*_xlfn.XLOOKUP(O4:O8,'Clés de répartition'!A134:A169,'Clés de répartition'!D134:D169)*LOOKUP(O4:O8,'Clés de répartition'!A50:A85,'Clés de répartition'!C50:C85))/SUM(_xlfn.XLOOKUP(O4:O8,'TC - résumé'!A3:A38,'TC - résumé'!H3:H38)*_xlfn.XLOOKUP(O4:O8,'Clés de répartition'!A134:A169,'Clés de répartition'!D134:D169)*_xlfn.XLOOKUP(O4:O8,'Clés de répartition'!A50:A85,'Clés de répartition'!C50:C85))</f>
        <v>0.38126104260250965</v>
      </c>
      <c r="H6" s="54" cm="1">
        <f t="array" ref="H6">SUM(_xlfn.XLOOKUP(O4:O8,'Vélo - résumé'!A3:A38,'Vélo - résumé'!I3:I38)*_xlfn.XLOOKUP(O4:O8,'Clés de répartition'!A134:A169,'Clés de répartition'!D134:D169)*_xlfn.XLOOKUP(O4:O8,'Clés de répartition'!A50:A85,'Clés de répartition'!D50:D85))/SUM(_xlfn.XLOOKUP(O4:O8,'Vélo - résumé'!A3:A38,'Vélo - résumé'!H3:H38)*_xlfn.XLOOKUP(O4:O8,'Clés de répartition'!A134:A169,'Clés de répartition'!D134:D169)*_xlfn.XLOOKUP(O4:O8,'Clés de répartition'!A50:A85,'Clés de répartition'!D50:D85))</f>
        <v>-0.30424442440959298</v>
      </c>
      <c r="I6" s="54" cm="1">
        <f t="array" ref="I6">SUM(LOOKUP(O4:O8,'Marche - résumé'!A3:A38,'Marche - résumé'!H3:H38)*LOOKUP(O4:O8,'Clés de répartition'!A134:A169,'Clés de répartition'!D134:D169)*LOOKUP(O4:O8,'Clés de répartition'!A50:A85,'Clés de répartition'!E50:E85))/SUM(LOOKUP(O4:O8,'Marche - résumé'!A3:A38,'Marche - résumé'!G3:G38)*LOOKUP(O4:O8,'Clés de répartition'!A134:A169,'Clés de répartition'!D134:D169)*LOOKUP(O4:O8,'Clés de répartition'!A50:A85,'Clés de répartition'!E50:E85))</f>
        <v>-9.9026300825505981E-2</v>
      </c>
      <c r="J6" s="16">
        <f t="shared" si="0"/>
        <v>-8.1564186381239842E-2</v>
      </c>
      <c r="K6" s="16">
        <f t="shared" si="0"/>
        <v>-0.26091698836194094</v>
      </c>
      <c r="L6" s="16">
        <f t="shared" si="0"/>
        <v>1.2586877176018545</v>
      </c>
      <c r="M6" s="16">
        <f t="shared" ref="M6:M7" si="2">(E6-E$4)/E$4</f>
        <v>5.843444645500381</v>
      </c>
      <c r="N6" s="347" t="e" vm="11">
        <v>#VALUE!</v>
      </c>
      <c r="O6" s="63" t="e" vm="23">
        <v>#VALUE!</v>
      </c>
      <c r="P6" s="347" t="e" vm="3">
        <v>#VALUE!</v>
      </c>
      <c r="Q6" s="347" t="e" vm="3">
        <v>#VALUE!</v>
      </c>
    </row>
    <row r="7" spans="1:17">
      <c r="A7" t="s">
        <v>798</v>
      </c>
      <c r="B7" s="54" cm="1">
        <f t="array" ref="B7">SUM(_xlfn.XLOOKUP(P4:P18,'Auto - résumé'!A3:A38,'Auto - résumé'!M3:M38,0)*_xlfn.XLOOKUP(P4:P18,'Clés de répartition'!A134:A169,'Clés de répartition'!D134:D169,0)*_xlfn.XLOOKUP(P4:P18,'Clés de répartition'!A50:A85,'Clés de répartition'!B50:B85,0)*_xlfn.XLOOKUP(P4:P18,'Clés de répartition'!A93:A128,'Clés de répartition'!F93:F128,0))/SUM(_xlfn.XLOOKUP(P4:P18,'Clés de répartition'!A93:A128,'Clés de répartition'!F93:F128,0)*_xlfn.XLOOKUP(P4:P18,'Clés de répartition'!A134:A169,'Clés de répartition'!D134:D169,0)*_xlfn.XLOOKUP(P4:P18,'Clés de répartition'!A50:A85,'Clés de répartition'!B50:B85,0))</f>
        <v>1.2210326318302513</v>
      </c>
      <c r="C7" s="54" cm="1">
        <f t="array" ref="C7">SUM(_xlfn.XLOOKUP(P4:P18,'TC - résumé'!A3:A38,'TC - résumé'!L3:L38,0)*_xlfn.XLOOKUP(P4:P18,'Clés de répartition'!A134:A169,'Clés de répartition'!D134:D169,0)*_xlfn.XLOOKUP(P4:P18,'Clés de répartition'!A50:A85,'Clés de répartition'!C50:C85,0)*_xlfn.XLOOKUP(P4:P18,'Clés de répartition'!A93:A128,'Clés de répartition'!G93:G128,0))/SUM(_xlfn.XLOOKUP(P4:P18,'Clés de répartition'!A93:A128,'Clés de répartition'!G93:G128,0)*_xlfn.XLOOKUP(P4:P18,'Clés de répartition'!A134:A169,'Clés de répartition'!D134:D169,0)*_xlfn.XLOOKUP(P4:P18,'Clés de répartition'!A50:A85,'Clés de répartition'!C50:C85,0))</f>
        <v>0.37085478546148581</v>
      </c>
      <c r="D7" s="54" cm="1">
        <f t="array" ref="D7">SUM(_xlfn.XLOOKUP(P4:P18,'Vélo - résumé'!A3:A38,'Vélo - résumé'!L3:L38,0)*_xlfn.XLOOKUP(P4:P18,'Clés de répartition'!A134:A169,'Clés de répartition'!D134:D169,0)*_xlfn.XLOOKUP(P4:P18,'Clés de répartition'!A50:A85,'Clés de répartition'!D50:D85,0)*_xlfn.XLOOKUP(P4:P18,'Clés de répartition'!A93:A128,'Clés de répartition'!H93:H128,0))/SUM(_xlfn.XLOOKUP(P4:P18,'Clés de répartition'!A93:A128,'Clés de répartition'!H93:H128,0)*_xlfn.XLOOKUP(P4:P18,'Clés de répartition'!A134:A169,'Clés de répartition'!D134:D169,0)*_xlfn.XLOOKUP(P4:P18,'Clés de répartition'!A50:A85,'Clés de répartition'!D50:D85,0))</f>
        <v>-0.15549849015642964</v>
      </c>
      <c r="E7" s="54" cm="1">
        <f t="array" ref="E7">SUM(_xlfn.XLOOKUP(P4:P18,'Marche - résumé'!A3:A38,'Marche - résumé'!K3:K38,0)*_xlfn.XLOOKUP(P4:P18,'Clés de répartition'!A134:A169,'Clés de répartition'!D134:D169,0)*_xlfn.XLOOKUP(P4:P18,'Clés de répartition'!A50:A85,'Clés de répartition'!E50:E85,0)*_xlfn.XLOOKUP(P4:P18,'Clés de répartition'!A93:A128,'Clés de répartition'!I93:I128,0))/SUM(_xlfn.XLOOKUP(P4:P18,'Clés de répartition'!A134:A169,'Clés de répartition'!D134:D169,0)*_xlfn.XLOOKUP(P4:P18,'Clés de répartition'!A50:A85,'Clés de répartition'!E50:E85,0)*_xlfn.XLOOKUP(P4:P18,'Clés de répartition'!A93:A128,'Clés de répartition'!I93:I128,0))</f>
        <v>-0.50921392121802267</v>
      </c>
      <c r="F7" s="54" cm="1">
        <f t="array" ref="F7">SUM(_xlfn.XLOOKUP(P4:P18,'Auto - résumé'!A3:A38,'Auto - résumé'!J3:J38)*_xlfn.XLOOKUP(P4:P18,'Clés de répartition'!A134:A169,'Clés de répartition'!D134:D169)*_xlfn.XLOOKUP(P4:P18,'Clés de répartition'!A50:A85,'Clés de répartition'!B50:B85))/SUM(_xlfn.XLOOKUP(P4:P18,'Auto - résumé'!A3:A38,'Auto - résumé'!I3:I38)*_xlfn.XLOOKUP(P4:P18,'Clés de répartition'!A134:A169,'Clés de répartition'!D134:D169)*_xlfn.XLOOKUP(P4:P18,'Clés de répartition'!A50:A85,'Clés de répartition'!B50:B85))</f>
        <v>1.2753096570807589</v>
      </c>
      <c r="G7" s="54" cm="1">
        <f t="array" ref="G7">SUM(_xlfn.XLOOKUP(P4:P18,'TC - résumé'!A3:A38,'TC - résumé'!I3:I38)*_xlfn.XLOOKUP(P4:P18,'Clés de répartition'!A134:A169,'Clés de répartition'!D134:D169)*_xlfn.XLOOKUP(P4:P18,'Clés de répartition'!A50:A85,'Clés de répartition'!C50:C85))/SUM(_xlfn.XLOOKUP(P4:P18,'TC - résumé'!A3:A38,'TC - résumé'!H3:H38)*_xlfn.XLOOKUP(P4:P18,'Clés de répartition'!A134:A169,'Clés de répartition'!D134:D169)*_xlfn.XLOOKUP(P4:P18,'Clés de répartition'!A50:A85,'Clés de répartition'!C50:C85))</f>
        <v>0.41086003807132354</v>
      </c>
      <c r="H7" s="54" cm="1">
        <f t="array" ref="H7">SUM(_xlfn.XLOOKUP(P4:P18,'Vélo - résumé'!A3:A38,'Vélo - résumé'!I3:I38)*_xlfn.XLOOKUP(P4:P18,'Clés de répartition'!A134:A169,'Clés de répartition'!D134:D169)*_xlfn.XLOOKUP(P4:P18,'Clés de répartition'!A50:A85,'Clés de répartition'!D50:D85))/SUM(_xlfn.XLOOKUP(P4:P18,'Vélo - résumé'!A3:A38,'Vélo - résumé'!H3:H38)*_xlfn.XLOOKUP(P4:P18,'Clés de répartition'!A134:A169,'Clés de répartition'!D134:D169)*_xlfn.XLOOKUP(P4:P18,'Clés de répartition'!A50:A85,'Clés de répartition'!D50:D85))</f>
        <v>-0.16564562897631346</v>
      </c>
      <c r="I7" s="54" cm="1">
        <f t="array" ref="I7">SUM(_xlfn.XLOOKUP(P4:P18,'Marche - résumé'!A3:A38,'Marche - résumé'!H3:H38)*_xlfn.XLOOKUP(P4:P18,'Clés de répartition'!A134:A169,'Clés de répartition'!D134:D169)*_xlfn.XLOOKUP(P4:P18,'Clés de répartition'!A50:A85,'Clés de répartition'!E50:E85))/SUM(_xlfn.XLOOKUP(P4:P18,'Marche - résumé'!A3:A38,'Marche - résumé'!G3:G38)*_xlfn.XLOOKUP(P4:P18,'Clés de répartition'!A134:A169,'Clés de répartition'!D134:D169)*_xlfn.XLOOKUP(P4:P18,'Clés de répartition'!A50:A85,'Clés de répartition'!E50:E85))</f>
        <v>-0.13947352739299732</v>
      </c>
      <c r="J7" s="16">
        <f t="shared" si="0"/>
        <v>-0.19011784446672669</v>
      </c>
      <c r="K7" s="16">
        <f t="shared" si="0"/>
        <v>-0.2718061160559655</v>
      </c>
      <c r="L7" s="16">
        <f t="shared" si="0"/>
        <v>0.20172510443975095</v>
      </c>
      <c r="M7" s="16">
        <f t="shared" si="2"/>
        <v>9.4197710806994497</v>
      </c>
      <c r="N7" s="347" t="e" vm="15">
        <v>#VALUE!</v>
      </c>
      <c r="O7" s="63" t="e" vm="27">
        <v>#VALUE!</v>
      </c>
      <c r="P7" s="347" t="e" vm="4">
        <v>#VALUE!</v>
      </c>
      <c r="Q7" s="347" t="e" vm="4">
        <v>#VALUE!</v>
      </c>
    </row>
    <row r="8" spans="1:17">
      <c r="B8" s="54"/>
      <c r="C8" s="54"/>
      <c r="D8" s="54"/>
      <c r="E8" s="54"/>
      <c r="F8" s="54"/>
      <c r="G8" s="54"/>
      <c r="H8" s="54"/>
      <c r="I8" s="54"/>
      <c r="J8" s="54"/>
      <c r="K8" s="54"/>
      <c r="L8" s="54"/>
      <c r="M8" s="54"/>
      <c r="N8" s="87" t="e" vm="18">
        <v>#VALUE!</v>
      </c>
      <c r="O8" s="63" t="e" vm="30">
        <v>#VALUE!</v>
      </c>
      <c r="P8" s="347" t="e" vm="5">
        <v>#VALUE!</v>
      </c>
      <c r="Q8" s="347" t="e" vm="5">
        <v>#VALUE!</v>
      </c>
    </row>
    <row r="9" spans="1:17">
      <c r="N9" s="63" t="e" vm="22">
        <v>#VALUE!</v>
      </c>
      <c r="P9" s="347" t="e" vm="7">
        <v>#VALUE!</v>
      </c>
      <c r="Q9" s="347" t="e" vm="6">
        <v>#VALUE!</v>
      </c>
    </row>
    <row r="10" spans="1:17">
      <c r="N10" s="63" t="e" vm="24">
        <v>#VALUE!</v>
      </c>
      <c r="P10" s="347" t="e" vm="10">
        <v>#VALUE!</v>
      </c>
      <c r="Q10" s="347" t="e" vm="7">
        <v>#VALUE!</v>
      </c>
    </row>
    <row r="11" spans="1:17">
      <c r="N11" s="63" t="e" vm="26">
        <v>#VALUE!</v>
      </c>
      <c r="P11" s="347" t="e" vm="12">
        <v>#VALUE!</v>
      </c>
      <c r="Q11" s="347" t="e" vm="9">
        <v>#VALUE!</v>
      </c>
    </row>
    <row r="12" spans="1:17">
      <c r="N12" s="63" t="e" vm="28">
        <v>#VALUE!</v>
      </c>
      <c r="P12" s="347" t="e" vm="13">
        <v>#VALUE!</v>
      </c>
      <c r="Q12" s="347" t="e" vm="10">
        <v>#VALUE!</v>
      </c>
    </row>
    <row r="13" spans="1:17">
      <c r="N13" s="63" t="e" vm="31">
        <v>#VALUE!</v>
      </c>
      <c r="P13" s="347" t="e" vm="14">
        <v>#VALUE!</v>
      </c>
      <c r="Q13" s="347" t="e" vm="11">
        <v>#VALUE!</v>
      </c>
    </row>
    <row r="14" spans="1:17">
      <c r="N14" s="63" t="e" vm="32">
        <v>#VALUE!</v>
      </c>
      <c r="P14" s="63" t="e" vm="19">
        <v>#VALUE!</v>
      </c>
      <c r="Q14" s="347" t="e" vm="12">
        <v>#VALUE!</v>
      </c>
    </row>
    <row r="15" spans="1:17">
      <c r="N15" s="63" t="e" vm="33">
        <v>#VALUE!</v>
      </c>
      <c r="P15" s="63" t="e" vm="20">
        <v>#VALUE!</v>
      </c>
      <c r="Q15" s="347" t="e" vm="13">
        <v>#VALUE!</v>
      </c>
    </row>
    <row r="16" spans="1:17" ht="17">
      <c r="F16" s="53"/>
      <c r="G16" s="54"/>
      <c r="N16" s="63" t="e" vm="34">
        <v>#VALUE!</v>
      </c>
      <c r="P16" s="66" t="e" vm="21">
        <v>#VALUE!</v>
      </c>
      <c r="Q16" s="347" t="e" vm="14">
        <v>#VALUE!</v>
      </c>
    </row>
    <row r="17" spans="6:17">
      <c r="F17" s="53"/>
      <c r="G17" s="54"/>
      <c r="P17" s="63" t="e" vm="25">
        <v>#VALUE!</v>
      </c>
      <c r="Q17" s="347" t="e" vm="15">
        <v>#VALUE!</v>
      </c>
    </row>
    <row r="18" spans="6:17" ht="17">
      <c r="P18" s="63" t="e" vm="29">
        <v>#VALUE!</v>
      </c>
      <c r="Q18" s="66" t="e" vm="16">
        <v>#VALUE!</v>
      </c>
    </row>
    <row r="19" spans="6:17" ht="17">
      <c r="Q19" s="66" t="e" vm="17">
        <v>#VALUE!</v>
      </c>
    </row>
    <row r="20" spans="6:17">
      <c r="Q20" s="87" t="e" vm="18">
        <v>#VALUE!</v>
      </c>
    </row>
    <row r="21" spans="6:17">
      <c r="Q21" s="63" t="e" vm="19">
        <v>#VALUE!</v>
      </c>
    </row>
    <row r="22" spans="6:17">
      <c r="Q22" s="63" t="e" vm="20">
        <v>#VALUE!</v>
      </c>
    </row>
    <row r="23" spans="6:17" ht="17">
      <c r="Q23" s="66" t="e" vm="21">
        <v>#VALUE!</v>
      </c>
    </row>
    <row r="24" spans="6:17">
      <c r="Q24" s="63" t="e" vm="22">
        <v>#VALUE!</v>
      </c>
    </row>
    <row r="25" spans="6:17">
      <c r="Q25" s="63" t="e" vm="23">
        <v>#VALUE!</v>
      </c>
    </row>
    <row r="26" spans="6:17">
      <c r="Q26" s="63" t="e" vm="24">
        <v>#VALUE!</v>
      </c>
    </row>
    <row r="27" spans="6:17">
      <c r="Q27" s="63" t="e" vm="25">
        <v>#VALUE!</v>
      </c>
    </row>
    <row r="28" spans="6:17">
      <c r="Q28" s="63" t="e" vm="26">
        <v>#VALUE!</v>
      </c>
    </row>
    <row r="29" spans="6:17">
      <c r="Q29" s="63" t="e" vm="27">
        <v>#VALUE!</v>
      </c>
    </row>
    <row r="30" spans="6:17">
      <c r="Q30" s="63" t="e" vm="28">
        <v>#VALUE!</v>
      </c>
    </row>
    <row r="31" spans="6:17">
      <c r="Q31" s="63" t="e" vm="29">
        <v>#VALUE!</v>
      </c>
    </row>
    <row r="32" spans="6:17">
      <c r="Q32" s="63" t="e" vm="30">
        <v>#VALUE!</v>
      </c>
    </row>
    <row r="33" spans="17:17">
      <c r="Q33" s="63" t="e" vm="31">
        <v>#VALUE!</v>
      </c>
    </row>
    <row r="34" spans="17:17">
      <c r="Q34" s="63" t="e" vm="32">
        <v>#VALUE!</v>
      </c>
    </row>
    <row r="35" spans="17:17">
      <c r="Q35" s="63" t="e" vm="33">
        <v>#VALUE!</v>
      </c>
    </row>
    <row r="36" spans="17:17">
      <c r="Q36" s="63" t="e" vm="34">
        <v>#VALUE!</v>
      </c>
    </row>
  </sheetData>
  <mergeCells count="4">
    <mergeCell ref="B2:E2"/>
    <mergeCell ref="F2:I2"/>
    <mergeCell ref="N2:P2"/>
    <mergeCell ref="J2:M2"/>
  </mergeCells>
  <hyperlinks>
    <hyperlink ref="A1" location="'Table des matières'!A1" display="Retour à la Table des matières" xr:uid="{F9CC66FB-6F88-C248-8D3A-8915E095C5CE}"/>
  </hyperlink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C657A8-25E3-954C-B5D4-D81A66903C41}">
  <sheetPr codeName="Sheet22"/>
  <dimension ref="A1:M48"/>
  <sheetViews>
    <sheetView zoomScaleNormal="100" workbookViewId="0">
      <selection activeCell="C48" sqref="C48"/>
    </sheetView>
  </sheetViews>
  <sheetFormatPr baseColWidth="10" defaultRowHeight="16"/>
  <cols>
    <col min="1" max="1" width="34.6640625" bestFit="1" customWidth="1"/>
    <col min="3" max="3" width="13" customWidth="1"/>
  </cols>
  <sheetData>
    <row r="1" spans="1:13">
      <c r="A1" s="501" t="s">
        <v>841</v>
      </c>
    </row>
    <row r="2" spans="1:13">
      <c r="B2" s="647" t="s">
        <v>579</v>
      </c>
      <c r="C2" s="647"/>
      <c r="D2" s="647"/>
      <c r="E2" s="647"/>
      <c r="F2" s="647" t="s">
        <v>601</v>
      </c>
      <c r="G2" s="647"/>
      <c r="H2" s="647"/>
      <c r="I2" s="647"/>
      <c r="J2" s="647" t="s">
        <v>802</v>
      </c>
      <c r="K2" s="647"/>
      <c r="L2" s="647"/>
      <c r="M2" s="647"/>
    </row>
    <row r="3" spans="1:13">
      <c r="B3" s="145" t="s">
        <v>10</v>
      </c>
      <c r="C3" s="146" t="s">
        <v>42</v>
      </c>
      <c r="D3" s="147" t="s">
        <v>12</v>
      </c>
      <c r="E3" s="148" t="s">
        <v>13</v>
      </c>
      <c r="F3" s="145" t="s">
        <v>10</v>
      </c>
      <c r="G3" s="146" t="s">
        <v>42</v>
      </c>
      <c r="H3" s="147" t="s">
        <v>12</v>
      </c>
      <c r="I3" s="148" t="s">
        <v>13</v>
      </c>
      <c r="J3" s="145" t="s">
        <v>10</v>
      </c>
      <c r="K3" s="146" t="s">
        <v>42</v>
      </c>
      <c r="L3" s="147" t="s">
        <v>12</v>
      </c>
      <c r="M3" s="148" t="s">
        <v>13</v>
      </c>
    </row>
    <row r="4" spans="1:13" ht="17">
      <c r="A4" s="298" t="s">
        <v>202</v>
      </c>
      <c r="B4" s="54">
        <f>'Auto - résumé'!M3</f>
        <v>1.5067195753171416</v>
      </c>
      <c r="C4" s="54">
        <f>'TC - résumé'!L3</f>
        <v>0.50928028048363583</v>
      </c>
      <c r="D4" s="54">
        <f>'Vélo - résumé'!L3</f>
        <v>-0.12939605703662466</v>
      </c>
      <c r="E4" s="54">
        <f>'Marche - résumé'!K3</f>
        <v>-4.8869972024744024E-2</v>
      </c>
      <c r="F4" s="54">
        <f>'Auto - résumé'!K3</f>
        <v>1.5510585368506695</v>
      </c>
      <c r="G4" s="54">
        <f>'TC - résumé'!J3</f>
        <v>0.49059618500494628</v>
      </c>
      <c r="H4" s="54">
        <f>'Vélo - résumé'!J3</f>
        <v>-0.12189410733979036</v>
      </c>
      <c r="I4" s="54">
        <f>'Marche - résumé'!I3</f>
        <v>-1.3355600853783987E-2</v>
      </c>
      <c r="J4" s="54">
        <f>'Auto - résumé'!L3+'Auto - résumé'!M3</f>
        <v>2.4781333160109291</v>
      </c>
      <c r="K4" s="54">
        <f>'TC - résumé'!K3+'TC - résumé'!L3</f>
        <v>1.5473647500530459</v>
      </c>
      <c r="L4" s="54">
        <f>'Vélo - résumé'!K3+'Vélo - résumé'!L3</f>
        <v>0.93214875313144985</v>
      </c>
      <c r="M4" s="54">
        <f>'Marche - résumé'!J3+'Marche - résumé'!K3</f>
        <v>3.6102669368847415</v>
      </c>
    </row>
    <row r="5" spans="1:13">
      <c r="A5" s="19" t="e" vm="1">
        <v>#VALUE!</v>
      </c>
      <c r="B5" s="54">
        <f>'Auto - résumé'!M4</f>
        <v>1.2598217807869876</v>
      </c>
      <c r="C5" s="54">
        <f>'TC - résumé'!L4</f>
        <v>0.4797988956807816</v>
      </c>
      <c r="D5" s="54">
        <f>'Vélo - résumé'!L4</f>
        <v>0.80857731795449517</v>
      </c>
      <c r="E5" s="54">
        <f>'Marche - résumé'!K4</f>
        <v>-0.70611646933063588</v>
      </c>
      <c r="F5" s="54">
        <f>'Auto - résumé'!K4</f>
        <v>1.2985499565273153</v>
      </c>
      <c r="G5" s="54">
        <f>'TC - résumé'!J4</f>
        <v>0.78765289339420841</v>
      </c>
      <c r="H5" s="54">
        <f>'Vélo - résumé'!J4</f>
        <v>0.83845900225189218</v>
      </c>
      <c r="I5" s="54">
        <f>'Marche - résumé'!I4</f>
        <v>-0.1942266349039124</v>
      </c>
      <c r="J5" s="54">
        <f>'Auto - résumé'!L4+'Auto - résumé'!M4</f>
        <v>2.2299976099526999</v>
      </c>
      <c r="K5" s="54">
        <f>'TC - résumé'!K4+'TC - résumé'!L4</f>
        <v>1.0889490679263236</v>
      </c>
      <c r="L5" s="54">
        <f>'Vélo - résumé'!K4+'Vélo - résumé'!L4</f>
        <v>1.7729385041101184</v>
      </c>
      <c r="M5" s="54">
        <f>'Marche - résumé'!J4+'Marche - résumé'!K4</f>
        <v>2.9294120444592728</v>
      </c>
    </row>
    <row r="6" spans="1:13">
      <c r="A6" s="19" t="e" vm="2">
        <v>#VALUE!</v>
      </c>
      <c r="B6" s="54">
        <f>'Auto - résumé'!M5</f>
        <v>0.87100989999438283</v>
      </c>
      <c r="C6" s="54">
        <f>'TC - résumé'!L5</f>
        <v>0.27131713633766741</v>
      </c>
      <c r="D6" s="54">
        <f>'Vélo - résumé'!L5</f>
        <v>0.47178856229764232</v>
      </c>
      <c r="E6" s="54">
        <f>'Marche - résumé'!K5</f>
        <v>-0.90635782420415445</v>
      </c>
      <c r="F6" s="54">
        <f>'Auto - résumé'!K5</f>
        <v>0.91630360761167862</v>
      </c>
      <c r="G6" s="54">
        <f>'TC - résumé'!J5</f>
        <v>0.39489813660018219</v>
      </c>
      <c r="H6" s="54">
        <f>'Vélo - résumé'!J5</f>
        <v>0.54224139384166004</v>
      </c>
      <c r="I6" s="54">
        <f>'Marche - résumé'!I5</f>
        <v>-0.25013063534295066</v>
      </c>
      <c r="J6" s="54">
        <f>'Auto - résumé'!L5+'Auto - résumé'!M5</f>
        <v>1.8215790047746721</v>
      </c>
      <c r="K6" s="54">
        <f>'TC - résumé'!K5+'TC - résumé'!L5</f>
        <v>0.95837314190288136</v>
      </c>
      <c r="L6" s="54">
        <f>'Vélo - résumé'!K5+'Vélo - résumé'!L5</f>
        <v>1.3418596554599054</v>
      </c>
      <c r="M6" s="54">
        <f>'Marche - résumé'!J5+'Marche - résumé'!K5</f>
        <v>2.7171800241743931</v>
      </c>
    </row>
    <row r="7" spans="1:13">
      <c r="A7" s="19" t="e" vm="3">
        <v>#VALUE!</v>
      </c>
      <c r="B7" s="54">
        <f>'Auto - résumé'!M6</f>
        <v>1.6217871706741231</v>
      </c>
      <c r="C7" s="54">
        <f>'TC - résumé'!L6</f>
        <v>0.47006705943319027</v>
      </c>
      <c r="D7" s="54">
        <f>'Vélo - résumé'!L6</f>
        <v>-0.13796911081345203</v>
      </c>
      <c r="E7" s="54">
        <f>'Marche - résumé'!K6</f>
        <v>-0.50969816537815327</v>
      </c>
      <c r="F7" s="54">
        <f>'Auto - résumé'!K6</f>
        <v>1.3044960737384255</v>
      </c>
      <c r="G7" s="54">
        <f>'TC - résumé'!J6</f>
        <v>0.38553124870312805</v>
      </c>
      <c r="H7" s="54">
        <f>'Vélo - résumé'!J6</f>
        <v>-0.13426686256250298</v>
      </c>
      <c r="I7" s="54">
        <f>'Marche - résumé'!I6</f>
        <v>-0.13864248569761711</v>
      </c>
      <c r="J7" s="54">
        <f>'Auto - résumé'!L6+'Auto - résumé'!M6</f>
        <v>2.8650160337755697</v>
      </c>
      <c r="K7" s="54">
        <f>'TC - résumé'!K6+'TC - résumé'!L6</f>
        <v>1.6893380290742468</v>
      </c>
      <c r="L7" s="54">
        <f>'Vélo - résumé'!K6+'Vélo - résumé'!L6</f>
        <v>0.88960469392355535</v>
      </c>
      <c r="M7" s="54">
        <f>'Marche - résumé'!J6+'Marche - résumé'!K6</f>
        <v>3.1666508470726069</v>
      </c>
    </row>
    <row r="8" spans="1:13">
      <c r="A8" s="19" t="e" vm="4">
        <v>#VALUE!</v>
      </c>
      <c r="B8" s="54">
        <f>'Auto - résumé'!M7</f>
        <v>1.0454899643330842</v>
      </c>
      <c r="C8" s="54">
        <f>'TC - résumé'!L7</f>
        <v>0.28396912811591851</v>
      </c>
      <c r="D8" s="54">
        <f>'Vélo - résumé'!L7</f>
        <v>1.0439289971577599E-2</v>
      </c>
      <c r="E8" s="54">
        <f>'Marche - résumé'!K7</f>
        <v>-0.98762462825377439</v>
      </c>
      <c r="F8" s="54">
        <f>'Auto - résumé'!K7</f>
        <v>1.0966408455286978</v>
      </c>
      <c r="G8" s="54">
        <f>'TC - résumé'!J7</f>
        <v>0.3366446980072349</v>
      </c>
      <c r="H8" s="54">
        <f>'Vélo - résumé'!J7</f>
        <v>1.2162865217309977E-2</v>
      </c>
      <c r="I8" s="54">
        <f>'Marche - résumé'!I7</f>
        <v>-0.27734080508702197</v>
      </c>
      <c r="J8" s="54">
        <f>'Auto - résumé'!L7+'Auto - résumé'!M7</f>
        <v>1.9988467252050053</v>
      </c>
      <c r="K8" s="54">
        <f>'TC - résumé'!K7+'TC - résumé'!L7</f>
        <v>1.1274968289734431</v>
      </c>
      <c r="L8" s="54">
        <f>'Vélo - résumé'!K7+'Vélo - résumé'!L7</f>
        <v>0.8687312947798348</v>
      </c>
      <c r="M8" s="54">
        <f>'Marche - résumé'!J7+'Marche - résumé'!K7</f>
        <v>2.5734259280965066</v>
      </c>
    </row>
    <row r="9" spans="1:13">
      <c r="A9" s="19" t="e" vm="5">
        <v>#VALUE!</v>
      </c>
      <c r="B9" s="54">
        <f>'Auto - résumé'!M8</f>
        <v>1.2359024473745837</v>
      </c>
      <c r="C9" s="54">
        <f>'TC - résumé'!L8</f>
        <v>0.57199223782418096</v>
      </c>
      <c r="D9" s="54">
        <f>'Vélo - résumé'!L8</f>
        <v>-0.20267108580676335</v>
      </c>
      <c r="E9" s="54">
        <f>'Marche - résumé'!K8</f>
        <v>-0.81289758235182585</v>
      </c>
      <c r="F9" s="54">
        <f>'Auto - résumé'!K8</f>
        <v>1.3330700178217905</v>
      </c>
      <c r="G9" s="54">
        <f>'TC - résumé'!J8</f>
        <v>0.77580486338794263</v>
      </c>
      <c r="H9" s="54">
        <f>'Vélo - résumé'!J8</f>
        <v>-0.22288282198546239</v>
      </c>
      <c r="I9" s="54">
        <f>'Marche - résumé'!I8</f>
        <v>-0.23296896104175846</v>
      </c>
      <c r="J9" s="54">
        <f>'Auto - résumé'!L8+'Auto - résumé'!M8</f>
        <v>2.1630123747241035</v>
      </c>
      <c r="K9" s="54">
        <f>'TC - résumé'!K8+'TC - résumé'!L8</f>
        <v>1.3092810391940111</v>
      </c>
      <c r="L9" s="54">
        <f>'Vélo - résumé'!K8+'Vélo - résumé'!L8</f>
        <v>0.70664567535656508</v>
      </c>
      <c r="M9" s="54">
        <f>'Marche - résumé'!J8+'Marche - résumé'!K8</f>
        <v>2.6763980676644792</v>
      </c>
    </row>
    <row r="10" spans="1:13">
      <c r="A10" s="19" t="e" vm="6">
        <v>#VALUE!</v>
      </c>
      <c r="B10" s="54">
        <f>'Auto - résumé'!M9</f>
        <v>3.4507739323373787</v>
      </c>
      <c r="C10" s="54">
        <f>'TC - résumé'!L9</f>
        <v>0.8413162897094717</v>
      </c>
      <c r="D10" s="54">
        <f>'Vélo - résumé'!L9</f>
        <v>-0.29375197347041532</v>
      </c>
      <c r="E10" s="54">
        <f>'Marche - résumé'!K9</f>
        <v>2.1832038403386509</v>
      </c>
      <c r="F10" s="54">
        <f>'Auto - résumé'!K9</f>
        <v>2.9340993683457506</v>
      </c>
      <c r="G10" s="54">
        <f>'TC - résumé'!J9</f>
        <v>0.72904567322792213</v>
      </c>
      <c r="H10" s="54">
        <f>'Vélo - résumé'!J9</f>
        <v>-0.29341184087836658</v>
      </c>
      <c r="I10" s="54">
        <f>'Marche - résumé'!I9</f>
        <v>0.58053958039332831</v>
      </c>
      <c r="J10" s="54">
        <f>'Auto - résumé'!L9+'Auto - résumé'!M9</f>
        <v>4.6268670018379288</v>
      </c>
      <c r="K10" s="54">
        <f>'TC - résumé'!K9+'TC - résumé'!L9</f>
        <v>1.9953129741482674</v>
      </c>
      <c r="L10" s="54">
        <f>'Vélo - résumé'!K9+'Vélo - résumé'!L9</f>
        <v>0.70740725920073566</v>
      </c>
      <c r="M10" s="54">
        <f>'Marche - résumé'!J9+'Marche - résumé'!K9</f>
        <v>5.9438498222361851</v>
      </c>
    </row>
    <row r="11" spans="1:13">
      <c r="A11" s="19" t="e" vm="7">
        <v>#VALUE!</v>
      </c>
      <c r="B11" s="54">
        <f>'Auto - résumé'!M10</f>
        <v>0.9549624194379156</v>
      </c>
      <c r="C11" s="54">
        <f>'TC - résumé'!L10</f>
        <v>0.37243230604135769</v>
      </c>
      <c r="D11" s="54">
        <f>'Vélo - résumé'!L10</f>
        <v>5.0345030768585319</v>
      </c>
      <c r="E11" s="54">
        <f>'Marche - résumé'!K10</f>
        <v>-0.99701496212105789</v>
      </c>
      <c r="F11" s="54">
        <f>'Auto - résumé'!K10</f>
        <v>1.0156164097807578</v>
      </c>
      <c r="G11" s="54">
        <f>'TC - résumé'!J10</f>
        <v>0.46876307534088846</v>
      </c>
      <c r="H11" s="54">
        <f>'Vélo - résumé'!J10</f>
        <v>2.7771412624069396</v>
      </c>
      <c r="I11" s="54">
        <f>'Marche - résumé'!I10</f>
        <v>-0.29399501880199908</v>
      </c>
      <c r="J11" s="54">
        <f>'Auto - résumé'!L10+'Auto - résumé'!M10</f>
        <v>1.8952410622810973</v>
      </c>
      <c r="K11" s="54">
        <f>'TC - résumé'!K10+'TC - résumé'!L10</f>
        <v>1.1669323970959309</v>
      </c>
      <c r="L11" s="54">
        <f>'Vélo - résumé'!K10+'Vélo - résumé'!L10</f>
        <v>6.847339587917082</v>
      </c>
      <c r="M11" s="54">
        <f>'Marche - résumé'!J10+'Marche - résumé'!K10</f>
        <v>2.3942498497243818</v>
      </c>
    </row>
    <row r="12" spans="1:13">
      <c r="A12" s="19" t="e" vm="8">
        <v>#VALUE!</v>
      </c>
      <c r="B12" s="54">
        <f>'Auto - résumé'!M11</f>
        <v>1.5444594445807331</v>
      </c>
      <c r="C12" s="54">
        <f>'TC - résumé'!L11</f>
        <v>0.51050093297354593</v>
      </c>
      <c r="D12" s="54">
        <f>'Vélo - résumé'!L11</f>
        <v>-0.13634656569609888</v>
      </c>
      <c r="E12" s="54">
        <f>'Marche - résumé'!K11</f>
        <v>-6.5494346800985398E-2</v>
      </c>
      <c r="F12" s="54">
        <f>'Auto - résumé'!K11</f>
        <v>1.5948227361785885</v>
      </c>
      <c r="G12" s="54">
        <f>'TC - résumé'!J11</f>
        <v>0.48329733319876977</v>
      </c>
      <c r="H12" s="54">
        <f>'Vélo - résumé'!J11</f>
        <v>-0.12794349307150318</v>
      </c>
      <c r="I12" s="54">
        <f>'Marche - résumé'!I11</f>
        <v>-1.7877845106409159E-2</v>
      </c>
      <c r="J12" s="54">
        <f>'Auto - résumé'!L11+'Auto - résumé'!M11</f>
        <v>2.5128802035432418</v>
      </c>
      <c r="K12" s="54">
        <f>'TC - résumé'!K11+'TC - résumé'!L11</f>
        <v>1.5667884353165142</v>
      </c>
      <c r="L12" s="54">
        <f>'Vélo - résumé'!K11+'Vélo - résumé'!L11</f>
        <v>0.9293314334179279</v>
      </c>
      <c r="M12" s="54">
        <f>'Marche - résumé'!J11+'Marche - résumé'!K11</f>
        <v>3.5979419572480889</v>
      </c>
    </row>
    <row r="13" spans="1:13">
      <c r="A13" s="19" t="e" vm="9">
        <v>#VALUE!</v>
      </c>
      <c r="B13" s="54">
        <f>'Auto - résumé'!M12</f>
        <v>1.6772693888804988</v>
      </c>
      <c r="C13" s="54">
        <f>'TC - résumé'!L12</f>
        <v>0.22529472083743096</v>
      </c>
      <c r="D13" s="54">
        <f>'Vélo - résumé'!L12</f>
        <v>-7.3427821957741002E-2</v>
      </c>
      <c r="E13" s="54">
        <f>'Marche - résumé'!K12</f>
        <v>-6.1461674285971414E-2</v>
      </c>
      <c r="F13" s="54">
        <f>'Auto - résumé'!K12</f>
        <v>1.8451152597294365</v>
      </c>
      <c r="G13" s="54">
        <f>'TC - résumé'!J12</f>
        <v>0.26819589434267355</v>
      </c>
      <c r="H13" s="54">
        <f>'Vélo - résumé'!J12</f>
        <v>-8.1266862036605839E-2</v>
      </c>
      <c r="I13" s="54">
        <f>'Marche - résumé'!I12</f>
        <v>-1.6930028471383449E-2</v>
      </c>
      <c r="J13" s="54">
        <f>'Auto - résumé'!L12+'Auto - résumé'!M12</f>
        <v>2.5863017000253592</v>
      </c>
      <c r="K13" s="54">
        <f>'TC - résumé'!K12+'TC - résumé'!L12</f>
        <v>1.0653326393507254</v>
      </c>
      <c r="L13" s="54">
        <f>'Vélo - résumé'!K12+'Vélo - résumé'!L12</f>
        <v>0.83011170347226981</v>
      </c>
      <c r="M13" s="54">
        <f>'Marche - résumé'!J12+'Marche - résumé'!K12</f>
        <v>3.5688732888157784</v>
      </c>
    </row>
    <row r="14" spans="1:13">
      <c r="A14" s="19" t="e" vm="10">
        <v>#VALUE!</v>
      </c>
      <c r="B14" s="54">
        <f>'Auto - résumé'!M13</f>
        <v>1.8418870209436879</v>
      </c>
      <c r="C14" s="54">
        <f>'TC - résumé'!L13</f>
        <v>0.68191306492486392</v>
      </c>
      <c r="D14" s="54">
        <f>'Vélo - résumé'!L13</f>
        <v>-0.32788189559318304</v>
      </c>
      <c r="E14" s="54">
        <f>'Marche - résumé'!K13</f>
        <v>1.193431412791689</v>
      </c>
      <c r="F14" s="54">
        <f>'Auto - résumé'!K13</f>
        <v>1.8083368368489958</v>
      </c>
      <c r="G14" s="54">
        <f>'TC - résumé'!J13</f>
        <v>0.55922010086973906</v>
      </c>
      <c r="H14" s="54">
        <f>'Vélo - résumé'!J13</f>
        <v>-0.36608817970991953</v>
      </c>
      <c r="I14" s="54">
        <f>'Marche - résumé'!I13</f>
        <v>0.32974827478635205</v>
      </c>
      <c r="J14" s="54">
        <f>'Auto - résumé'!L13+'Auto - résumé'!M13</f>
        <v>2.8604400821936888</v>
      </c>
      <c r="K14" s="54">
        <f>'TC - résumé'!K13+'TC - résumé'!L13</f>
        <v>1.9013131971166504</v>
      </c>
      <c r="L14" s="54">
        <f>'Vélo - résumé'!K13+'Vélo - résumé'!L13</f>
        <v>0.56775449412305867</v>
      </c>
      <c r="M14" s="54">
        <f>'Marche - résumé'!J13+'Marche - résumé'!K13</f>
        <v>4.8126509934397692</v>
      </c>
    </row>
    <row r="15" spans="1:13">
      <c r="A15" s="19" t="e" vm="11">
        <v>#VALUE!</v>
      </c>
      <c r="B15" s="54">
        <f>'Auto - résumé'!M14</f>
        <v>2.5211762412478063</v>
      </c>
      <c r="C15" s="54">
        <f>'TC - résumé'!L14</f>
        <v>0.94161228913199424</v>
      </c>
      <c r="D15" s="54">
        <f>'Vélo - résumé'!L14</f>
        <v>-0.17439349943047541</v>
      </c>
      <c r="E15" s="54">
        <f>'Marche - résumé'!K14</f>
        <v>0.92857377514173312</v>
      </c>
      <c r="F15" s="54">
        <f>'Auto - résumé'!K14</f>
        <v>2.4247961543448926</v>
      </c>
      <c r="G15" s="54">
        <f>'TC - résumé'!J14</f>
        <v>0.82361569455380368</v>
      </c>
      <c r="H15" s="54">
        <f>'Vélo - résumé'!J14</f>
        <v>-0.16225440345144806</v>
      </c>
      <c r="I15" s="54">
        <f>'Marche - résumé'!I14</f>
        <v>0.2573037537425924</v>
      </c>
      <c r="J15" s="54">
        <f>'Auto - résumé'!L14+'Auto - résumé'!M14</f>
        <v>3.5609239481757533</v>
      </c>
      <c r="K15" s="54">
        <f>'TC - résumé'!K14+'TC - résumé'!L14</f>
        <v>2.0848788579436968</v>
      </c>
      <c r="L15" s="54">
        <f>'Vélo - résumé'!K14+'Vélo - résumé'!L14</f>
        <v>0.90042170262756782</v>
      </c>
      <c r="M15" s="54">
        <f>'Marche - résumé'!J14+'Marche - résumé'!K14</f>
        <v>4.5374359142875216</v>
      </c>
    </row>
    <row r="16" spans="1:13">
      <c r="A16" s="19" t="e" vm="12">
        <v>#VALUE!</v>
      </c>
      <c r="B16" s="54">
        <f>'Auto - résumé'!M15</f>
        <v>1.2894177791144674</v>
      </c>
      <c r="C16" s="54">
        <f>'TC - résumé'!L15</f>
        <v>0.46811237212232337</v>
      </c>
      <c r="D16" s="54">
        <f>'Vélo - résumé'!L15</f>
        <v>-6.5336597696382254E-2</v>
      </c>
      <c r="E16" s="54">
        <f>'Marche - résumé'!K15</f>
        <v>-0.53091737461229671</v>
      </c>
      <c r="F16" s="54">
        <f>'Auto - résumé'!K15</f>
        <v>1.3109135588460943</v>
      </c>
      <c r="G16" s="54">
        <f>'TC - résumé'!J15</f>
        <v>0.64046618930207666</v>
      </c>
      <c r="H16" s="54">
        <f>'Vélo - résumé'!J15</f>
        <v>-7.4472986515175588E-2</v>
      </c>
      <c r="I16" s="54">
        <f>'Marche - résumé'!I15</f>
        <v>-0.15080750891872427</v>
      </c>
      <c r="J16" s="54">
        <f>'Auto - résumé'!L15+'Auto - résumé'!M15</f>
        <v>2.2730202221691047</v>
      </c>
      <c r="K16" s="54">
        <f>'TC - résumé'!K15+'TC - résumé'!L15</f>
        <v>1.1990055557772339</v>
      </c>
      <c r="L16" s="54">
        <f>'Vélo - résumé'!K15+'Vélo - résumé'!L15</f>
        <v>0.81198282715397496</v>
      </c>
      <c r="M16" s="54">
        <f>'Marche - résumé'!J15+'Marche - résumé'!K15</f>
        <v>2.989579571587031</v>
      </c>
    </row>
    <row r="17" spans="1:13">
      <c r="A17" s="19" t="e" vm="13">
        <v>#VALUE!</v>
      </c>
      <c r="B17" s="54">
        <f>'Auto - résumé'!M16</f>
        <v>0.7649389795488607</v>
      </c>
      <c r="C17" s="54">
        <f>'TC - résumé'!L16</f>
        <v>0.36075492352456628</v>
      </c>
      <c r="D17" s="54">
        <f>'Vélo - résumé'!L16</f>
        <v>4.1459106429049566</v>
      </c>
      <c r="E17" s="54">
        <f>'Marche - résumé'!K16</f>
        <v>-0.75690685651512268</v>
      </c>
      <c r="F17" s="54">
        <f>'Auto - résumé'!K16</f>
        <v>0.88206910287981743</v>
      </c>
      <c r="G17" s="54">
        <f>'TC - résumé'!J16</f>
        <v>0.46674314898101227</v>
      </c>
      <c r="H17" s="54">
        <f>'Vélo - résumé'!J16</f>
        <v>3.7348348339576334</v>
      </c>
      <c r="I17" s="54">
        <f>'Marche - résumé'!I16</f>
        <v>-0.19552762879015012</v>
      </c>
      <c r="J17" s="54">
        <f>'Auto - résumé'!L16+'Auto - résumé'!M16</f>
        <v>1.6321487900404137</v>
      </c>
      <c r="K17" s="54">
        <f>'TC - résumé'!K16+'TC - résumé'!L16</f>
        <v>1.1336745139077606</v>
      </c>
      <c r="L17" s="54">
        <f>'Vélo - résumé'!K16+'Vélo - résumé'!L16</f>
        <v>5.2559759676710653</v>
      </c>
      <c r="M17" s="54">
        <f>'Marche - résumé'!J16+'Marche - résumé'!K16</f>
        <v>3.1141923901671573</v>
      </c>
    </row>
    <row r="18" spans="1:13">
      <c r="A18" s="19" t="e" vm="14">
        <v>#VALUE!</v>
      </c>
      <c r="B18" s="54">
        <f>'Auto - résumé'!M17</f>
        <v>0.65751879240060007</v>
      </c>
      <c r="C18" s="54">
        <f>'TC - résumé'!L17</f>
        <v>0.29241391368291697</v>
      </c>
      <c r="D18" s="54">
        <f>'Vélo - résumé'!L17</f>
        <v>-0.65714800048679001</v>
      </c>
      <c r="E18" s="54">
        <f>'Marche - résumé'!K17</f>
        <v>0</v>
      </c>
      <c r="F18" s="54">
        <f>'Auto - résumé'!K17</f>
        <v>0.74455490385964018</v>
      </c>
      <c r="G18" s="54">
        <f>'TC - résumé'!J17</f>
        <v>0.46351903840639169</v>
      </c>
      <c r="H18" s="54">
        <f>'Vélo - résumé'!J17</f>
        <v>-0.76968680611183427</v>
      </c>
      <c r="I18" s="54">
        <f>'Marche - résumé'!I17</f>
        <v>0.1602207581353052</v>
      </c>
      <c r="J18" s="54">
        <f>'Auto - résumé'!L17+'Auto - résumé'!M17</f>
        <v>1.5406219577845623</v>
      </c>
      <c r="K18" s="54">
        <f>'TC - résumé'!K17+'TC - résumé'!L17</f>
        <v>0.92327023123193253</v>
      </c>
      <c r="L18" s="54">
        <f>'Vélo - résumé'!K17+'Vélo - résumé'!L17</f>
        <v>0.19663823473069064</v>
      </c>
      <c r="M18" s="54">
        <f>'Marche - résumé'!J17+'Marche - résumé'!K17</f>
        <v>0</v>
      </c>
    </row>
    <row r="19" spans="1:13">
      <c r="A19" s="19" t="e" vm="15">
        <v>#VALUE!</v>
      </c>
      <c r="B19" s="54">
        <f>'Auto - résumé'!M18</f>
        <v>3.5392135230841202</v>
      </c>
      <c r="C19" s="54">
        <f>'TC - résumé'!L18</f>
        <v>1.5766523700683304</v>
      </c>
      <c r="D19" s="54">
        <f>'Vélo - résumé'!L18</f>
        <v>0.87230035047474985</v>
      </c>
      <c r="E19" s="54">
        <f>'Marche - résumé'!K18</f>
        <v>1.5401370998370485</v>
      </c>
      <c r="F19" s="54">
        <f>'Auto - résumé'!K18</f>
        <v>2.9335093185340262</v>
      </c>
      <c r="G19" s="54">
        <f>'TC - résumé'!J18</f>
        <v>1.2978928325853176</v>
      </c>
      <c r="H19" s="54">
        <f>'Vélo - résumé'!J18</f>
        <v>0.7181653149142373</v>
      </c>
      <c r="I19" s="54">
        <f>'Marche - résumé'!I18</f>
        <v>0.43216756970418563</v>
      </c>
      <c r="J19" s="54">
        <f>'Auto - résumé'!L18+'Auto - résumé'!M18</f>
        <v>4.7456912051979048</v>
      </c>
      <c r="K19" s="54">
        <f>'TC - résumé'!K18+'TC - résumé'!L18</f>
        <v>2.7914309176374248</v>
      </c>
      <c r="L19" s="54">
        <f>'Vélo - résumé'!K18+'Vélo - résumé'!L18</f>
        <v>2.0869236862994813</v>
      </c>
      <c r="M19" s="54">
        <f>'Marche - résumé'!J18+'Marche - résumé'!K18</f>
        <v>5.1038869223682877</v>
      </c>
    </row>
    <row r="20" spans="1:13">
      <c r="A20" s="107" t="s">
        <v>585</v>
      </c>
      <c r="B20" s="326"/>
      <c r="C20" s="326"/>
      <c r="D20" s="326"/>
      <c r="E20" s="326"/>
      <c r="F20" s="326"/>
      <c r="G20" s="326"/>
      <c r="H20" s="326"/>
      <c r="I20" s="326"/>
      <c r="J20" s="326"/>
      <c r="K20" s="326"/>
      <c r="L20" s="326"/>
      <c r="M20" s="326"/>
    </row>
    <row r="21" spans="1:13" ht="17">
      <c r="A21" s="66" t="e" vm="16">
        <v>#VALUE!</v>
      </c>
      <c r="B21" s="54">
        <f>'Auto - résumé'!M20</f>
        <v>1.6842319593411221</v>
      </c>
      <c r="C21" s="54">
        <f>'TC - résumé'!L20</f>
        <v>0.46064838310112827</v>
      </c>
      <c r="D21" s="54">
        <f>'Vélo - résumé'!L20</f>
        <v>-0.25576105409327488</v>
      </c>
      <c r="E21" s="54">
        <f>'Marche - résumé'!K20</f>
        <v>-6.9294341075657989E-2</v>
      </c>
      <c r="F21" s="54">
        <f>'Auto - résumé'!K20</f>
        <v>1.6533758342432581</v>
      </c>
      <c r="G21" s="54">
        <f>'TC - résumé'!J20</f>
        <v>0.4485220638756231</v>
      </c>
      <c r="H21" s="54">
        <f>'Vélo - résumé'!J20</f>
        <v>-0.25533582883117478</v>
      </c>
      <c r="I21" s="54">
        <f>'Marche - résumé'!I20</f>
        <v>-1.8920619423628281E-2</v>
      </c>
      <c r="J21" s="54">
        <f>'Auto - résumé'!L20+'Auto - résumé'!M20</f>
        <v>2.7028944584891073</v>
      </c>
      <c r="K21" s="54">
        <f>'TC - résumé'!K20+'TC - résumé'!L20</f>
        <v>1.4876845541218426</v>
      </c>
      <c r="L21" s="54">
        <f>'Vélo - résumé'!K20+'Vélo - résumé'!L20</f>
        <v>0.74590430271954133</v>
      </c>
      <c r="M21" s="54">
        <f>'Marche - résumé'!J20+'Marche - résumé'!K20</f>
        <v>3.5930773563922611</v>
      </c>
    </row>
    <row r="22" spans="1:13" ht="17">
      <c r="A22" s="66" t="e" vm="17">
        <v>#VALUE!</v>
      </c>
      <c r="B22" s="54">
        <f>'Auto - résumé'!M21</f>
        <v>1.5157207734336606</v>
      </c>
      <c r="C22" s="54">
        <f>'TC - résumé'!L21</f>
        <v>0.40806401312902552</v>
      </c>
      <c r="D22" s="54">
        <f>'Vélo - résumé'!L21</f>
        <v>-0.45797872106714987</v>
      </c>
      <c r="E22" s="54">
        <f>'Marche - résumé'!K21</f>
        <v>-0.43358252006748621</v>
      </c>
      <c r="F22" s="54">
        <f>'Auto - résumé'!K21</f>
        <v>1.6025907034921019</v>
      </c>
      <c r="G22" s="54">
        <f>'TC - résumé'!J21</f>
        <v>0.41461175488394347</v>
      </c>
      <c r="H22" s="54">
        <f>'Vélo - résumé'!J21</f>
        <v>-0.47596808677424268</v>
      </c>
      <c r="I22" s="54">
        <f>'Marche - résumé'!I21</f>
        <v>-0.12027927298042243</v>
      </c>
      <c r="J22" s="54">
        <f>'Auto - résumé'!L21+'Auto - résumé'!M21</f>
        <v>2.4615148368404003</v>
      </c>
      <c r="K22" s="54">
        <f>'TC - résumé'!K21+'TC - résumé'!L21</f>
        <v>1.3922715478219316</v>
      </c>
      <c r="L22" s="54">
        <f>'Vélo - résumé'!K21+'Vélo - résumé'!L21</f>
        <v>0.50422595986217178</v>
      </c>
      <c r="M22" s="54">
        <f>'Marche - résumé'!J21+'Marche - résumé'!K21</f>
        <v>3.1712157907608423</v>
      </c>
    </row>
    <row r="23" spans="1:13">
      <c r="A23" s="87" t="e" vm="18">
        <v>#VALUE!</v>
      </c>
      <c r="B23" s="54">
        <f>'Auto - résumé'!M22</f>
        <v>1.7896145997331314</v>
      </c>
      <c r="C23" s="54">
        <f>'TC - résumé'!L22</f>
        <v>0.59788917909766037</v>
      </c>
      <c r="D23" s="54">
        <f>'Vélo - résumé'!L22</f>
        <v>-0.31203309219115921</v>
      </c>
      <c r="E23" s="54">
        <f>'Marche - résumé'!K22</f>
        <v>-0.41332007241784724</v>
      </c>
      <c r="F23" s="54">
        <f>'Auto - résumé'!K22</f>
        <v>1.7710933276543501</v>
      </c>
      <c r="G23" s="54">
        <f>'TC - résumé'!J22</f>
        <v>0.51624169213887439</v>
      </c>
      <c r="H23" s="54">
        <f>'Vélo - résumé'!J22</f>
        <v>-0.29636548469106616</v>
      </c>
      <c r="I23" s="54">
        <f>'Marche - résumé'!I22</f>
        <v>-0.11132902458021414</v>
      </c>
      <c r="J23" s="54">
        <f>'Auto - résumé'!L22+'Auto - résumé'!M22</f>
        <v>2.800072135645884</v>
      </c>
      <c r="K23" s="54">
        <f>'TC - résumé'!K22+'TC - résumé'!L22</f>
        <v>1.7560466626990081</v>
      </c>
      <c r="L23" s="54">
        <f>'Vélo - résumé'!K22+'Vélo - résumé'!L22</f>
        <v>0.74083273837755614</v>
      </c>
      <c r="M23" s="54">
        <f>'Marche - résumé'!J22+'Marche - résumé'!K22</f>
        <v>3.2992793505659073</v>
      </c>
    </row>
    <row r="24" spans="1:13">
      <c r="A24" s="63" t="e" vm="19">
        <v>#VALUE!</v>
      </c>
      <c r="B24" s="54">
        <f>'Auto - résumé'!M23</f>
        <v>0.89147458424195214</v>
      </c>
      <c r="C24" s="54">
        <f>'TC - résumé'!L23</f>
        <v>0.24226047959831043</v>
      </c>
      <c r="D24" s="54">
        <f>'Vélo - résumé'!L23</f>
        <v>-0.32205488386419567</v>
      </c>
      <c r="E24" s="54">
        <f>'Marche - résumé'!K23</f>
        <v>-0.8501583039819719</v>
      </c>
      <c r="F24" s="54">
        <f>'Auto - résumé'!K23</f>
        <v>0.90839451780559355</v>
      </c>
      <c r="G24" s="54">
        <f>'TC - résumé'!J23</f>
        <v>0.29679001520812787</v>
      </c>
      <c r="H24" s="54">
        <f>'Vélo - résumé'!J23</f>
        <v>-0.37535089477049544</v>
      </c>
      <c r="I24" s="54">
        <f>'Marche - résumé'!I23</f>
        <v>-0.23116892210984183</v>
      </c>
      <c r="J24" s="54">
        <f>'Auto - résumé'!L23+'Auto - résumé'!M23</f>
        <v>1.8728483890899659</v>
      </c>
      <c r="K24" s="54">
        <f>'TC - résumé'!K23+'TC - résumé'!L23</f>
        <v>1.0585294481767247</v>
      </c>
      <c r="L24" s="54">
        <f>'Vélo - résumé'!K23+'Vélo - résumé'!L23</f>
        <v>0.53595528302541018</v>
      </c>
      <c r="M24" s="54">
        <f>'Marche - résumé'!J23+'Marche - résumé'!K23</f>
        <v>2.8274913395025973</v>
      </c>
    </row>
    <row r="25" spans="1:13">
      <c r="A25" s="63" t="e" vm="20">
        <v>#VALUE!</v>
      </c>
      <c r="B25" s="54">
        <f>'Auto - résumé'!M24</f>
        <v>1.3399231097268138</v>
      </c>
      <c r="C25" s="54">
        <f>'TC - résumé'!L24</f>
        <v>0.39593688248318093</v>
      </c>
      <c r="D25" s="54">
        <f>'Vélo - résumé'!L24</f>
        <v>-0.24192161679953772</v>
      </c>
      <c r="E25" s="54">
        <f>'Marche - résumé'!K24</f>
        <v>-0.12349872836889202</v>
      </c>
      <c r="F25" s="54">
        <f>'Auto - résumé'!K24</f>
        <v>1.4227768268345675</v>
      </c>
      <c r="G25" s="54">
        <f>'TC - résumé'!J24</f>
        <v>0.39953618673956837</v>
      </c>
      <c r="H25" s="54">
        <f>'Vélo - résumé'!J24</f>
        <v>-0.25048859420843478</v>
      </c>
      <c r="I25" s="54">
        <f>'Marche - résumé'!I24</f>
        <v>-3.2599933191509771E-2</v>
      </c>
      <c r="J25" s="54">
        <f>'Auto - résumé'!L24+'Auto - résumé'!M24</f>
        <v>2.2816892985309365</v>
      </c>
      <c r="K25" s="54">
        <f>'TC - résumé'!K24+'TC - résumé'!L24</f>
        <v>1.3869281759483369</v>
      </c>
      <c r="L25" s="54">
        <f>'Vélo - résumé'!K24+'Vélo - résumé'!L24</f>
        <v>0.72387731533959054</v>
      </c>
      <c r="M25" s="54">
        <f>'Marche - résumé'!J24+'Marche - résumé'!K24</f>
        <v>3.6648135863647981</v>
      </c>
    </row>
    <row r="26" spans="1:13" ht="17">
      <c r="A26" s="66" t="e" vm="21">
        <v>#VALUE!</v>
      </c>
      <c r="B26" s="54">
        <f>'Auto - résumé'!M25</f>
        <v>1.3902359437835583</v>
      </c>
      <c r="C26" s="54">
        <f>'TC - résumé'!L25</f>
        <v>0.38148511018757053</v>
      </c>
      <c r="D26" s="54">
        <f>'Vélo - résumé'!L25</f>
        <v>-0.25476511932457035</v>
      </c>
      <c r="E26" s="54">
        <f>'Marche - résumé'!K25</f>
        <v>-0.14127368709077898</v>
      </c>
      <c r="F26" s="54">
        <f>'Auto - résumé'!K25</f>
        <v>1.5671944917094172</v>
      </c>
      <c r="G26" s="54">
        <f>'TC - résumé'!J25</f>
        <v>0.40473730137395908</v>
      </c>
      <c r="H26" s="54">
        <f>'Vélo - résumé'!J25</f>
        <v>-0.28976366587433433</v>
      </c>
      <c r="I26" s="54">
        <f>'Marche - résumé'!I25</f>
        <v>-3.7804450230006129E-2</v>
      </c>
      <c r="J26" s="54">
        <f>'Auto - résumé'!L25+'Auto - résumé'!M25</f>
        <v>2.2773217210358498</v>
      </c>
      <c r="K26" s="54">
        <f>'TC - résumé'!K25+'TC - résumé'!L25</f>
        <v>1.3240350281035755</v>
      </c>
      <c r="L26" s="54">
        <f>'Vélo - résumé'!K25+'Vélo - résumé'!L25</f>
        <v>0.62445180580591775</v>
      </c>
      <c r="M26" s="54">
        <f>'Marche - résumé'!J25+'Marche - résumé'!K25</f>
        <v>3.5956854865317833</v>
      </c>
    </row>
    <row r="27" spans="1:13">
      <c r="A27" s="63" t="e" vm="22">
        <v>#VALUE!</v>
      </c>
      <c r="B27" s="54">
        <f>'Auto - résumé'!M26</f>
        <v>1.5869623500784857</v>
      </c>
      <c r="C27" s="54">
        <f>'TC - résumé'!L26</f>
        <v>0.45704193106598079</v>
      </c>
      <c r="D27" s="54">
        <f>'Vélo - résumé'!L26</f>
        <v>-0.27658679373650041</v>
      </c>
      <c r="E27" s="54">
        <f>'Marche - résumé'!K26</f>
        <v>-0.3961187774132614</v>
      </c>
      <c r="F27" s="54">
        <f>'Auto - résumé'!K26</f>
        <v>1.637985342658294</v>
      </c>
      <c r="G27" s="54">
        <f>'TC - résumé'!J26</f>
        <v>0.46055997263132259</v>
      </c>
      <c r="H27" s="54">
        <f>'Vélo - résumé'!J26</f>
        <v>-0.25593718539466354</v>
      </c>
      <c r="I27" s="54">
        <f>'Marche - résumé'!I26</f>
        <v>-0.10799937974869095</v>
      </c>
      <c r="J27" s="54">
        <f>'Auto - résumé'!L26+'Auto - résumé'!M26</f>
        <v>2.5558125032202699</v>
      </c>
      <c r="K27" s="54">
        <f>'TC - résumé'!K26+'TC - résumé'!L26</f>
        <v>1.4494033133518922</v>
      </c>
      <c r="L27" s="54">
        <f>'Vélo - résumé'!K26+'Vélo - résumé'!L26</f>
        <v>0.80409553583586912</v>
      </c>
      <c r="M27" s="54">
        <f>'Marche - résumé'!J26+'Marche - résumé'!K26</f>
        <v>3.2716687444688977</v>
      </c>
    </row>
    <row r="28" spans="1:13">
      <c r="A28" s="63" t="e" vm="23">
        <v>#VALUE!</v>
      </c>
      <c r="B28" s="54">
        <f>'Auto - résumé'!M27</f>
        <v>1.554237290096274</v>
      </c>
      <c r="C28" s="54">
        <f>'TC - résumé'!L27</f>
        <v>0.40220699410512467</v>
      </c>
      <c r="D28" s="54">
        <f>'Vélo - résumé'!L27</f>
        <v>-0.39499552422770967</v>
      </c>
      <c r="E28" s="54">
        <f>'Marche - résumé'!K27</f>
        <v>-0.26919699831120436</v>
      </c>
      <c r="F28" s="54">
        <f>'Auto - résumé'!K27</f>
        <v>1.534160253678083</v>
      </c>
      <c r="G28" s="54">
        <f>'TC - résumé'!J27</f>
        <v>0.38338885935211681</v>
      </c>
      <c r="H28" s="54">
        <f>'Vélo - résumé'!J27</f>
        <v>-0.40425100877137887</v>
      </c>
      <c r="I28" s="54">
        <f>'Marche - résumé'!I27</f>
        <v>-7.2221926546341728E-2</v>
      </c>
      <c r="J28" s="54">
        <f>'Auto - résumé'!L27+'Auto - résumé'!M27</f>
        <v>2.5673239519166784</v>
      </c>
      <c r="K28" s="54">
        <f>'TC - résumé'!K27+'TC - résumé'!L27</f>
        <v>1.4512906706230297</v>
      </c>
      <c r="L28" s="54">
        <f>'Vélo - résumé'!K27+'Vélo - résumé'!L27</f>
        <v>0.5821090856734531</v>
      </c>
      <c r="M28" s="54">
        <f>'Marche - résumé'!J27+'Marche - résumé'!K27</f>
        <v>3.4581613149355648</v>
      </c>
    </row>
    <row r="29" spans="1:13">
      <c r="A29" s="63" t="e" vm="24">
        <v>#VALUE!</v>
      </c>
      <c r="B29" s="54">
        <f>'Auto - résumé'!M28</f>
        <v>2.6925823835346447</v>
      </c>
      <c r="C29" s="54">
        <f>'TC - résumé'!L28</f>
        <v>0.99241115919810241</v>
      </c>
      <c r="D29" s="54">
        <f>'Vélo - résumé'!L28</f>
        <v>-3.0025898811341174E-2</v>
      </c>
      <c r="E29" s="54">
        <f>'Marche - résumé'!K28</f>
        <v>0.44030421521033763</v>
      </c>
      <c r="F29" s="54">
        <f>'Auto - résumé'!K28</f>
        <v>2.2678628092894031</v>
      </c>
      <c r="G29" s="54">
        <f>'TC - résumé'!J28</f>
        <v>0.69463745884019412</v>
      </c>
      <c r="H29" s="54">
        <f>'Vélo - résumé'!J28</f>
        <v>-2.7951010965370594E-2</v>
      </c>
      <c r="I29" s="54">
        <f>'Marche - résumé'!I28</f>
        <v>0.12204462513738934</v>
      </c>
      <c r="J29" s="54">
        <f>'Auto - résumé'!L28+'Auto - résumé'!M28</f>
        <v>3.8798598381079752</v>
      </c>
      <c r="K29" s="54">
        <f>'TC - résumé'!K28+'TC - résumé'!L28</f>
        <v>2.4210861414760352</v>
      </c>
      <c r="L29" s="54">
        <f>'Vélo - résumé'!K28+'Vélo - résumé'!L28</f>
        <v>1.0442071172516996</v>
      </c>
      <c r="M29" s="54">
        <f>'Marche - résumé'!J28+'Marche - résumé'!K28</f>
        <v>4.0480355242677728</v>
      </c>
    </row>
    <row r="30" spans="1:13">
      <c r="A30" s="63" t="e" vm="25">
        <v>#VALUE!</v>
      </c>
      <c r="B30" s="54">
        <f>'Auto - résumé'!M29</f>
        <v>1.0621223579493451</v>
      </c>
      <c r="C30" s="54">
        <f>'TC - résumé'!L29</f>
        <v>0.24203493101195045</v>
      </c>
      <c r="D30" s="54">
        <f>'Vélo - résumé'!L29</f>
        <v>0.71997911050134988</v>
      </c>
      <c r="E30" s="54">
        <f>'Marche - résumé'!K29</f>
        <v>-0.88292489376941607</v>
      </c>
      <c r="F30" s="54">
        <f>'Auto - résumé'!K29</f>
        <v>1.1414158469710696</v>
      </c>
      <c r="G30" s="54">
        <f>'TC - résumé'!J29</f>
        <v>0.28701159343936233</v>
      </c>
      <c r="H30" s="54">
        <f>'Vélo - résumé'!J29</f>
        <v>0.69459028935352463</v>
      </c>
      <c r="I30" s="54">
        <f>'Marche - résumé'!I29</f>
        <v>-0.24760726481204207</v>
      </c>
      <c r="J30" s="54">
        <f>'Auto - résumé'!L29+'Auto - résumé'!M29</f>
        <v>1.992652944823408</v>
      </c>
      <c r="K30" s="54">
        <f>'TC - résumé'!K29+'TC - résumé'!L29</f>
        <v>1.0853281517197257</v>
      </c>
      <c r="L30" s="54">
        <f>'Vélo - résumé'!K29+'Vélo - résumé'!L29</f>
        <v>1.7565313363774924</v>
      </c>
      <c r="M30" s="54">
        <f>'Marche - résumé'!J29+'Marche - résumé'!K29</f>
        <v>2.6829030088958863</v>
      </c>
    </row>
    <row r="31" spans="1:13">
      <c r="A31" s="63" t="e" vm="26">
        <v>#VALUE!</v>
      </c>
      <c r="B31" s="54">
        <f>'Auto - résumé'!M30</f>
        <v>2.2398191124753128</v>
      </c>
      <c r="C31" s="54">
        <f>'TC - résumé'!L30</f>
        <v>0.78418478309140682</v>
      </c>
      <c r="D31" s="54">
        <f>'Vélo - résumé'!L30</f>
        <v>4.7763823529535405E-2</v>
      </c>
      <c r="E31" s="54">
        <f>'Marche - résumé'!K30</f>
        <v>0.17024096056379695</v>
      </c>
      <c r="F31" s="54">
        <f>'Auto - résumé'!K30</f>
        <v>2.1722058080111957</v>
      </c>
      <c r="G31" s="54">
        <f>'TC - résumé'!J30</f>
        <v>0.62709748182455061</v>
      </c>
      <c r="H31" s="54">
        <f>'Vélo - résumé'!J30</f>
        <v>4.1929823435987792E-2</v>
      </c>
      <c r="I31" s="54">
        <f>'Marche - résumé'!I30</f>
        <v>4.7738358220377163E-2</v>
      </c>
      <c r="J31" s="54">
        <f>'Auto - résumé'!L30+'Auto - résumé'!M30</f>
        <v>3.2709456771013516</v>
      </c>
      <c r="K31" s="54">
        <f>'TC - résumé'!K30+'TC - résumé'!L30</f>
        <v>2.0346837977100081</v>
      </c>
      <c r="L31" s="54">
        <f>'Vélo - résumé'!K30+'Vélo - résumé'!L30</f>
        <v>1.1869010679888186</v>
      </c>
      <c r="M31" s="54">
        <f>'Marche - résumé'!J30+'Marche - résumé'!K30</f>
        <v>3.7363661251097668</v>
      </c>
    </row>
    <row r="32" spans="1:13">
      <c r="A32" s="63" t="e" vm="27">
        <v>#VALUE!</v>
      </c>
      <c r="B32" s="54">
        <f>'Auto - résumé'!M31</f>
        <v>1.1399740890430707</v>
      </c>
      <c r="C32" s="54">
        <f>'TC - résumé'!L31</f>
        <v>0.30292312064752214</v>
      </c>
      <c r="D32" s="54">
        <f>'Vélo - résumé'!L31</f>
        <v>1.7639234976636699E-2</v>
      </c>
      <c r="E32" s="54">
        <f>'Marche - résumé'!K31</f>
        <v>-0.54825201518315692</v>
      </c>
      <c r="F32" s="54">
        <f>'Auto - résumé'!K31</f>
        <v>1.2356976406362803</v>
      </c>
      <c r="G32" s="54">
        <f>'TC - résumé'!J31</f>
        <v>0.34164028791025114</v>
      </c>
      <c r="H32" s="54">
        <f>'Vélo - résumé'!J31</f>
        <v>1.9834705661125086E-2</v>
      </c>
      <c r="I32" s="54">
        <f>'Marche - résumé'!I31</f>
        <v>-0.15182059147446081</v>
      </c>
      <c r="J32" s="54">
        <f>'Auto - résumé'!L31+'Auto - résumé'!M31</f>
        <v>2.0625088997885861</v>
      </c>
      <c r="K32" s="54">
        <f>'TC - résumé'!K31+'TC - résumé'!L31</f>
        <v>1.1895958327578104</v>
      </c>
      <c r="L32" s="54">
        <f>'Vélo - résumé'!K31+'Vélo - résumé'!L31</f>
        <v>0.90695089293628117</v>
      </c>
      <c r="M32" s="54">
        <f>'Marche - résumé'!J31+'Marche - résumé'!K31</f>
        <v>3.0629314867292541</v>
      </c>
    </row>
    <row r="33" spans="1:13">
      <c r="A33" s="63" t="e" vm="28">
        <v>#VALUE!</v>
      </c>
      <c r="B33" s="54">
        <f>'Auto - résumé'!M32</f>
        <v>1.9536416474405687</v>
      </c>
      <c r="C33" s="54">
        <f>'TC - résumé'!L32</f>
        <v>0.64297095235882262</v>
      </c>
      <c r="D33" s="54">
        <f>'Vélo - résumé'!L32</f>
        <v>-0.15503220583104727</v>
      </c>
      <c r="E33" s="54">
        <f>'Marche - résumé'!K32</f>
        <v>0.1421915591803245</v>
      </c>
      <c r="F33" s="54">
        <f>'Auto - résumé'!K32</f>
        <v>1.879567221289101</v>
      </c>
      <c r="G33" s="54">
        <f>'TC - résumé'!J32</f>
        <v>0.53714609881708841</v>
      </c>
      <c r="H33" s="54">
        <f>'Vélo - résumé'!J32</f>
        <v>-0.14729683210091857</v>
      </c>
      <c r="I33" s="54">
        <f>'Marche - résumé'!I32</f>
        <v>3.9299475106956881E-2</v>
      </c>
      <c r="J33" s="54">
        <f>'Auto - résumé'!L32+'Auto - résumé'!M32</f>
        <v>2.9930520102690199</v>
      </c>
      <c r="K33" s="54">
        <f>'TC - résumé'!K32+'TC - résumé'!L32</f>
        <v>1.8399841183760075</v>
      </c>
      <c r="L33" s="54">
        <f>'Vélo - résumé'!K32+'Vélo - résumé'!L32</f>
        <v>0.8974833413113984</v>
      </c>
      <c r="M33" s="54">
        <f>'Marche - résumé'!J32+'Marche - résumé'!K32</f>
        <v>3.7603457150141621</v>
      </c>
    </row>
    <row r="34" spans="1:13">
      <c r="A34" s="63" t="e" vm="29">
        <v>#VALUE!</v>
      </c>
      <c r="B34" s="54">
        <f>'Auto - résumé'!M33</f>
        <v>1.5632693296051061</v>
      </c>
      <c r="C34" s="54">
        <f>'TC - résumé'!L33</f>
        <v>0.43152170717492727</v>
      </c>
      <c r="D34" s="54">
        <f>'Vélo - résumé'!L33</f>
        <v>-0.17705192858563304</v>
      </c>
      <c r="E34" s="54">
        <f>'Marche - résumé'!K33</f>
        <v>-0.58019852881554679</v>
      </c>
      <c r="F34" s="54">
        <f>'Auto - résumé'!K33</f>
        <v>1.5491630751482051</v>
      </c>
      <c r="G34" s="54">
        <f>'TC - résumé'!J33</f>
        <v>0.42784376437066063</v>
      </c>
      <c r="H34" s="54">
        <f>'Vélo - résumé'!J33</f>
        <v>-0.16429720825739133</v>
      </c>
      <c r="I34" s="54">
        <f>'Marche - résumé'!I33</f>
        <v>-0.15851334857218161</v>
      </c>
      <c r="J34" s="54">
        <f>'Auto - résumé'!L33+'Auto - résumé'!M33</f>
        <v>2.5723750555826967</v>
      </c>
      <c r="K34" s="54">
        <f>'TC - résumé'!K33+'TC - résumé'!L33</f>
        <v>1.440118169506631</v>
      </c>
      <c r="L34" s="54">
        <f>'Vélo - résumé'!K33+'Vélo - résumé'!L33</f>
        <v>0.90058006810818714</v>
      </c>
      <c r="M34" s="54">
        <f>'Marche - résumé'!J33+'Marche - résumé'!K33</f>
        <v>3.0800517532062486</v>
      </c>
    </row>
    <row r="35" spans="1:13">
      <c r="A35" s="63" t="e" vm="30">
        <v>#VALUE!</v>
      </c>
      <c r="B35" s="54">
        <f>'Auto - résumé'!M34</f>
        <v>1.6957973487755382</v>
      </c>
      <c r="C35" s="54">
        <f>'TC - résumé'!L34</f>
        <v>0.50311441020562231</v>
      </c>
      <c r="D35" s="54">
        <f>'Vélo - résumé'!L34</f>
        <v>0.24835583506658185</v>
      </c>
      <c r="E35" s="54">
        <f>'Marche - résumé'!K34</f>
        <v>-0.17810149797285948</v>
      </c>
      <c r="F35" s="54">
        <f>'Auto - résumé'!K34</f>
        <v>1.6956677087011041</v>
      </c>
      <c r="G35" s="54">
        <f>'TC - résumé'!J34</f>
        <v>0.42901828259562358</v>
      </c>
      <c r="H35" s="54">
        <f>'Vélo - résumé'!J34</f>
        <v>0.23316505858433673</v>
      </c>
      <c r="I35" s="54">
        <f>'Marche - résumé'!I34</f>
        <v>-4.8529193432553387E-2</v>
      </c>
      <c r="J35" s="54">
        <f>'Auto - résumé'!L34+'Auto - résumé'!M34</f>
        <v>2.6958738024779758</v>
      </c>
      <c r="K35" s="54">
        <f>'TC - résumé'!K34+'TC - résumé'!L34</f>
        <v>1.6758252960021585</v>
      </c>
      <c r="L35" s="54">
        <f>'Vélo - résumé'!K34+'Vélo - résumé'!L34</f>
        <v>1.313506147787004</v>
      </c>
      <c r="M35" s="54">
        <f>'Marche - résumé'!J34+'Marche - résumé'!K34</f>
        <v>3.491885274430182</v>
      </c>
    </row>
    <row r="36" spans="1:13">
      <c r="A36" s="63" t="e" vm="31">
        <v>#VALUE!</v>
      </c>
      <c r="B36" s="54">
        <f>'Auto - résumé'!M35</f>
        <v>1.4179756614670129</v>
      </c>
      <c r="C36" s="54">
        <f>'TC - résumé'!L35</f>
        <v>0.58194240466438851</v>
      </c>
      <c r="D36" s="54">
        <f>'Vélo - résumé'!L35</f>
        <v>-7.1383796438586139E-2</v>
      </c>
      <c r="E36" s="54">
        <f>'Marche - résumé'!K35</f>
        <v>-0.3818383036311998</v>
      </c>
      <c r="F36" s="54">
        <f>'Auto - résumé'!K35</f>
        <v>1.5902715072422116</v>
      </c>
      <c r="G36" s="54">
        <f>'TC - résumé'!J35</f>
        <v>0.54939721514581275</v>
      </c>
      <c r="H36" s="54">
        <f>'Vélo - résumé'!J35</f>
        <v>-6.5441698007680335E-2</v>
      </c>
      <c r="I36" s="54">
        <f>'Marche - résumé'!I35</f>
        <v>-0.10311581474769049</v>
      </c>
      <c r="J36" s="54">
        <f>'Auto - résumé'!L35+'Auto - résumé'!M35</f>
        <v>2.3096319949983934</v>
      </c>
      <c r="K36" s="54">
        <f>'TC - résumé'!K35+'TC - résumé'!L35</f>
        <v>1.6411803997276473</v>
      </c>
      <c r="L36" s="54">
        <f>'Vélo - résumé'!K35+'Vélo - résumé'!L35</f>
        <v>1.0194160851630254</v>
      </c>
      <c r="M36" s="54">
        <f>'Marche - résumé'!J35+'Marche - résumé'!K35</f>
        <v>3.3211659791308867</v>
      </c>
    </row>
    <row r="37" spans="1:13">
      <c r="A37" s="63" t="e" vm="32">
        <v>#VALUE!</v>
      </c>
      <c r="B37" s="54">
        <f>'Auto - résumé'!M36</f>
        <v>1.363877708286322</v>
      </c>
      <c r="C37" s="54">
        <f>'TC - résumé'!L36</f>
        <v>0.47645613105473988</v>
      </c>
      <c r="D37" s="54">
        <f>'Vélo - résumé'!L36</f>
        <v>-0.16292971364325856</v>
      </c>
      <c r="E37" s="54">
        <f>'Marche - résumé'!K36</f>
        <v>-0.18607088466002925</v>
      </c>
      <c r="F37" s="54">
        <f>'Auto - résumé'!K36</f>
        <v>1.4721040569441279</v>
      </c>
      <c r="G37" s="54">
        <f>'TC - résumé'!J36</f>
        <v>0.46975335944144875</v>
      </c>
      <c r="H37" s="54">
        <f>'Vélo - résumé'!J36</f>
        <v>-0.164072694082573</v>
      </c>
      <c r="I37" s="54">
        <f>'Marche - résumé'!I36</f>
        <v>-5.1061591831032892E-2</v>
      </c>
      <c r="J37" s="54">
        <f>'Auto - résumé'!L36+'Auto - résumé'!M36</f>
        <v>2.2903595706605975</v>
      </c>
      <c r="K37" s="54">
        <f>'TC - résumé'!K36+'TC - résumé'!L36</f>
        <v>1.4907248350002762</v>
      </c>
      <c r="L37" s="54">
        <f>'Vélo - résumé'!K36+'Vélo - résumé'!L36</f>
        <v>0.83010398129479601</v>
      </c>
      <c r="M37" s="54">
        <f>'Marche - résumé'!J36+'Marche - résumé'!K36</f>
        <v>3.4579769796477171</v>
      </c>
    </row>
    <row r="38" spans="1:13">
      <c r="A38" s="63" t="e" vm="33">
        <v>#VALUE!</v>
      </c>
      <c r="B38" s="54">
        <f>'Auto - résumé'!M37</f>
        <v>2.356853280801154</v>
      </c>
      <c r="C38" s="54">
        <f>'TC - résumé'!L37</f>
        <v>0.89445570660141405</v>
      </c>
      <c r="D38" s="54">
        <f>'Vélo - résumé'!L37</f>
        <v>0.23909765512547665</v>
      </c>
      <c r="E38" s="54">
        <f>'Marche - résumé'!K37</f>
        <v>0.54256513962258379</v>
      </c>
      <c r="F38" s="54">
        <f>'Auto - résumé'!K37</f>
        <v>2.3870914633523221</v>
      </c>
      <c r="G38" s="54">
        <f>'TC - résumé'!J37</f>
        <v>0.76213665446702406</v>
      </c>
      <c r="H38" s="54">
        <f>'Vélo - résumé'!J37</f>
        <v>0.20152026397325501</v>
      </c>
      <c r="I38" s="54">
        <f>'Marche - résumé'!I37</f>
        <v>0.14625403757909405</v>
      </c>
      <c r="J38" s="54">
        <f>'Auto - résumé'!L37+'Auto - résumé'!M37</f>
        <v>3.3441859058742196</v>
      </c>
      <c r="K38" s="54">
        <f>'TC - résumé'!K37+'TC - résumé'!L37</f>
        <v>2.0680716209638104</v>
      </c>
      <c r="L38" s="54">
        <f>'Vélo - résumé'!K37+'Vélo - résumé'!L37</f>
        <v>1.4255671962591105</v>
      </c>
      <c r="M38" s="54">
        <f>'Marche - résumé'!J37+'Marche - résumé'!K37</f>
        <v>4.2523098318275085</v>
      </c>
    </row>
    <row r="39" spans="1:13">
      <c r="A39" s="63" t="e" vm="34">
        <v>#VALUE!</v>
      </c>
      <c r="B39" s="54">
        <f>'Auto - résumé'!M38</f>
        <v>1.5697073993210044</v>
      </c>
      <c r="C39" s="54">
        <f>'TC - résumé'!L38</f>
        <v>0.5393500534900435</v>
      </c>
      <c r="D39" s="54">
        <f>'Vélo - résumé'!L38</f>
        <v>-0.30329183386286157</v>
      </c>
      <c r="E39" s="54">
        <f>'Marche - résumé'!K38</f>
        <v>-0.12828313440602793</v>
      </c>
      <c r="F39" s="54">
        <f>'Auto - résumé'!K38</f>
        <v>1.6562544894458269</v>
      </c>
      <c r="G39" s="54">
        <f>'TC - résumé'!J38</f>
        <v>0.48795329912319058</v>
      </c>
      <c r="H39" s="54">
        <f>'Vélo - résumé'!J38</f>
        <v>-0.29002294009563295</v>
      </c>
      <c r="I39" s="54">
        <f>'Marche - résumé'!I38</f>
        <v>-3.4465879928927079E-2</v>
      </c>
      <c r="J39" s="54">
        <f>'Auto - résumé'!L38+'Auto - résumé'!M38</f>
        <v>2.5174526940952511</v>
      </c>
      <c r="K39" s="54">
        <f>'TC - résumé'!K38+'TC - résumé'!L38</f>
        <v>1.6446813515040306</v>
      </c>
      <c r="L39" s="54">
        <f>'Vélo - résumé'!K38+'Vélo - résumé'!L38</f>
        <v>0.74245935313928824</v>
      </c>
      <c r="M39" s="54">
        <f>'Marche - résumé'!J38+'Marche - résumé'!K38</f>
        <v>3.5937496316386417</v>
      </c>
    </row>
    <row r="40" spans="1:13">
      <c r="B40" s="54"/>
      <c r="C40" s="54"/>
      <c r="D40" s="54"/>
      <c r="E40" s="54"/>
      <c r="F40" s="54"/>
      <c r="G40" s="54"/>
      <c r="H40" s="54"/>
      <c r="I40" s="54"/>
      <c r="J40" s="54"/>
      <c r="K40" s="54"/>
      <c r="L40" s="54"/>
      <c r="M40" s="54"/>
    </row>
    <row r="41" spans="1:13">
      <c r="F41" s="54"/>
      <c r="G41" s="54"/>
      <c r="H41" s="54"/>
      <c r="I41" s="54"/>
      <c r="J41" s="54"/>
      <c r="K41" s="54"/>
      <c r="L41" s="54"/>
      <c r="M41" s="54"/>
    </row>
    <row r="42" spans="1:13">
      <c r="H42" s="54"/>
      <c r="I42" s="54"/>
      <c r="L42" s="54"/>
      <c r="M42" s="54"/>
    </row>
    <row r="45" spans="1:13">
      <c r="B45" s="54"/>
      <c r="C45" s="53"/>
      <c r="D45" s="357"/>
      <c r="E45" s="53"/>
    </row>
    <row r="46" spans="1:13">
      <c r="B46" s="54"/>
      <c r="C46" s="54"/>
      <c r="D46" s="357"/>
      <c r="E46" s="53"/>
    </row>
    <row r="47" spans="1:13">
      <c r="B47" s="54"/>
      <c r="C47" s="54"/>
      <c r="D47" s="54"/>
      <c r="E47" s="54"/>
    </row>
    <row r="48" spans="1:13">
      <c r="B48" s="54"/>
      <c r="C48" s="54"/>
      <c r="D48" s="54"/>
      <c r="E48" s="54"/>
    </row>
  </sheetData>
  <mergeCells count="3">
    <mergeCell ref="B2:E2"/>
    <mergeCell ref="F2:I2"/>
    <mergeCell ref="J2:M2"/>
  </mergeCells>
  <conditionalFormatting sqref="B4:E19">
    <cfRule type="colorScale" priority="1">
      <colorScale>
        <cfvo type="percentile" val="10"/>
        <cfvo type="percentile" val="50"/>
        <cfvo type="percentile" val="90"/>
        <color rgb="FF63BE7B"/>
        <color rgb="FFFFEB84"/>
        <color rgb="FFF8696B"/>
      </colorScale>
    </cfRule>
  </conditionalFormatting>
  <conditionalFormatting sqref="B21:E39">
    <cfRule type="colorScale" priority="2">
      <colorScale>
        <cfvo type="percentile" val="10"/>
        <cfvo type="percentile" val="50"/>
        <cfvo type="percentile" val="90"/>
        <color rgb="FF63BE7B"/>
        <color rgb="FFFFEB84"/>
        <color rgb="FFF8696B"/>
      </colorScale>
    </cfRule>
  </conditionalFormatting>
  <hyperlinks>
    <hyperlink ref="A1" location="'Table des matières'!A1" display="Retour à la Table des matières" xr:uid="{0AACE62B-CFE8-DE49-9CA7-89ED82ABD2BC}"/>
  </hyperlink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3B12DF-D4FA-7747-94D3-E5AF622C2FD3}">
  <sheetPr codeName="Sheet24"/>
  <dimension ref="A1:AZ217"/>
  <sheetViews>
    <sheetView zoomScale="69" zoomScaleNormal="90" workbookViewId="0">
      <selection activeCell="A5" sqref="A5"/>
    </sheetView>
  </sheetViews>
  <sheetFormatPr baseColWidth="10" defaultRowHeight="16"/>
  <cols>
    <col min="1" max="1" width="42.83203125" customWidth="1"/>
    <col min="2" max="2" width="14.83203125" customWidth="1"/>
    <col min="3" max="3" width="15.83203125" customWidth="1"/>
    <col min="4" max="4" width="14.1640625" customWidth="1"/>
    <col min="5" max="6" width="20.5" customWidth="1"/>
    <col min="7" max="7" width="16" bestFit="1" customWidth="1"/>
    <col min="8" max="8" width="16" customWidth="1"/>
    <col min="9" max="9" width="18.6640625" customWidth="1"/>
    <col min="10" max="10" width="10.1640625" customWidth="1"/>
    <col min="11" max="11" width="11.5" customWidth="1"/>
    <col min="12" max="17" width="21.6640625" customWidth="1"/>
    <col min="18" max="18" width="18.5" customWidth="1"/>
    <col min="19" max="19" width="13.6640625" customWidth="1"/>
    <col min="20" max="20" width="20.1640625" customWidth="1"/>
    <col min="21" max="23" width="22.5" customWidth="1"/>
    <col min="24" max="24" width="21.1640625" customWidth="1"/>
    <col min="25" max="25" width="20.6640625" customWidth="1"/>
    <col min="26" max="26" width="20" customWidth="1"/>
    <col min="27" max="27" width="22.83203125" customWidth="1"/>
    <col min="28" max="28" width="25.1640625" customWidth="1"/>
    <col min="29" max="29" width="11" bestFit="1" customWidth="1"/>
    <col min="30" max="30" width="19.6640625" customWidth="1"/>
    <col min="31" max="31" width="18.6640625" customWidth="1"/>
    <col min="32" max="32" width="12.1640625" bestFit="1" customWidth="1"/>
    <col min="33" max="33" width="11.5" bestFit="1" customWidth="1"/>
    <col min="34" max="34" width="14.5" customWidth="1"/>
    <col min="35" max="35" width="11" bestFit="1" customWidth="1"/>
    <col min="37" max="38" width="11.5" bestFit="1" customWidth="1"/>
    <col min="39" max="39" width="12.1640625" bestFit="1" customWidth="1"/>
    <col min="40" max="40" width="11.5" bestFit="1" customWidth="1"/>
    <col min="41" max="41" width="11" bestFit="1" customWidth="1"/>
    <col min="43" max="43" width="13.5" customWidth="1"/>
    <col min="44" max="46" width="11" bestFit="1" customWidth="1"/>
    <col min="49" max="49" width="35.5" bestFit="1" customWidth="1"/>
    <col min="50" max="50" width="16.1640625" customWidth="1"/>
    <col min="51" max="51" width="16.33203125" customWidth="1"/>
  </cols>
  <sheetData>
    <row r="1" spans="1:52">
      <c r="A1" s="501" t="s">
        <v>841</v>
      </c>
    </row>
    <row r="2" spans="1:52" ht="24" customHeight="1">
      <c r="A2" s="48" t="s">
        <v>780</v>
      </c>
    </row>
    <row r="3" spans="1:52" ht="150" customHeight="1">
      <c r="A3" s="637" t="s">
        <v>1074</v>
      </c>
      <c r="B3" s="688"/>
      <c r="C3" s="688"/>
      <c r="D3" s="688"/>
      <c r="E3" s="688"/>
      <c r="F3" s="688"/>
    </row>
    <row r="4" spans="1:52" ht="23" customHeight="1">
      <c r="C4" s="16"/>
      <c r="G4" s="54"/>
      <c r="H4" s="54"/>
      <c r="I4" s="54"/>
      <c r="J4" s="54"/>
    </row>
    <row r="5" spans="1:52" ht="23" customHeight="1">
      <c r="C5" s="16"/>
      <c r="G5" s="355"/>
      <c r="H5" s="355"/>
      <c r="M5" s="54"/>
      <c r="U5" s="54"/>
      <c r="V5" s="54"/>
      <c r="W5" s="54"/>
    </row>
    <row r="6" spans="1:52" ht="23" customHeight="1">
      <c r="C6" s="16"/>
      <c r="G6" s="355"/>
      <c r="H6" s="355"/>
      <c r="M6" s="54"/>
    </row>
    <row r="7" spans="1:52" ht="18" customHeight="1">
      <c r="C7" s="159"/>
      <c r="D7" s="159"/>
      <c r="E7" s="159"/>
      <c r="F7" s="159"/>
      <c r="G7" s="647" t="s">
        <v>828</v>
      </c>
      <c r="H7" s="647"/>
      <c r="I7" s="647"/>
      <c r="J7" s="647"/>
      <c r="K7" s="647" t="s">
        <v>829</v>
      </c>
      <c r="L7" s="647"/>
      <c r="M7" s="647"/>
      <c r="N7" s="647"/>
      <c r="O7" t="s">
        <v>658</v>
      </c>
      <c r="Q7" s="689" t="s">
        <v>834</v>
      </c>
      <c r="R7" s="689"/>
      <c r="S7" s="689"/>
      <c r="T7" s="689"/>
      <c r="U7" s="689"/>
      <c r="V7" s="689"/>
      <c r="W7" s="689"/>
      <c r="X7" s="689"/>
      <c r="Y7" s="689"/>
      <c r="Z7" s="689"/>
      <c r="AA7" s="689"/>
    </row>
    <row r="8" spans="1:52" ht="52" thickBot="1">
      <c r="A8" s="8" t="s">
        <v>825</v>
      </c>
      <c r="B8" s="609" t="s">
        <v>10</v>
      </c>
      <c r="C8" s="610" t="s">
        <v>42</v>
      </c>
      <c r="D8" s="611" t="s">
        <v>12</v>
      </c>
      <c r="E8" s="612" t="s">
        <v>13</v>
      </c>
      <c r="F8" s="607" t="s">
        <v>1068</v>
      </c>
      <c r="G8" s="301" t="s">
        <v>10</v>
      </c>
      <c r="H8" s="251" t="s">
        <v>11</v>
      </c>
      <c r="I8" s="57" t="s">
        <v>12</v>
      </c>
      <c r="J8" s="58" t="s">
        <v>13</v>
      </c>
      <c r="K8" s="301" t="s">
        <v>10</v>
      </c>
      <c r="L8" s="251" t="s">
        <v>11</v>
      </c>
      <c r="M8" s="57" t="s">
        <v>12</v>
      </c>
      <c r="N8" s="58" t="s">
        <v>13</v>
      </c>
      <c r="O8" s="301" t="s">
        <v>10</v>
      </c>
      <c r="P8" s="54" t="s">
        <v>767</v>
      </c>
      <c r="Q8" s="622" t="s">
        <v>1075</v>
      </c>
      <c r="R8" s="623" t="s">
        <v>786</v>
      </c>
      <c r="S8" s="623" t="s">
        <v>785</v>
      </c>
      <c r="T8" s="623" t="s">
        <v>1076</v>
      </c>
      <c r="U8" s="623" t="s">
        <v>1077</v>
      </c>
      <c r="V8" s="634" t="s">
        <v>1067</v>
      </c>
      <c r="W8" s="623" t="s">
        <v>1135</v>
      </c>
      <c r="X8" s="634" t="s">
        <v>1078</v>
      </c>
      <c r="Y8" s="634" t="s">
        <v>1079</v>
      </c>
      <c r="Z8" s="623" t="s">
        <v>1080</v>
      </c>
      <c r="AA8" s="624" t="s">
        <v>1081</v>
      </c>
      <c r="AB8" s="159" t="s">
        <v>1082</v>
      </c>
      <c r="AC8" s="3" t="s">
        <v>775</v>
      </c>
      <c r="AD8" s="145" t="s">
        <v>10</v>
      </c>
      <c r="AE8" s="146" t="s">
        <v>42</v>
      </c>
      <c r="AF8" s="147" t="s">
        <v>12</v>
      </c>
      <c r="AG8" s="148" t="s">
        <v>13</v>
      </c>
      <c r="AH8" s="54" t="s">
        <v>40</v>
      </c>
      <c r="AI8" s="54"/>
      <c r="AJ8" s="384" t="s">
        <v>770</v>
      </c>
      <c r="AK8" s="145" t="s">
        <v>10</v>
      </c>
      <c r="AL8" s="146" t="s">
        <v>42</v>
      </c>
      <c r="AM8" s="147" t="s">
        <v>12</v>
      </c>
      <c r="AN8" s="148" t="s">
        <v>13</v>
      </c>
      <c r="AO8" s="54" t="s">
        <v>40</v>
      </c>
      <c r="AP8" t="s">
        <v>779</v>
      </c>
      <c r="AQ8" s="145" t="s">
        <v>10</v>
      </c>
      <c r="AR8" s="146" t="s">
        <v>42</v>
      </c>
      <c r="AS8" s="147" t="s">
        <v>12</v>
      </c>
      <c r="AT8" s="148" t="s">
        <v>13</v>
      </c>
      <c r="AX8" s="114" t="s">
        <v>1136</v>
      </c>
      <c r="AY8" s="114" t="s">
        <v>1137</v>
      </c>
      <c r="AZ8" t="s">
        <v>779</v>
      </c>
    </row>
    <row r="9" spans="1:52">
      <c r="A9" s="107" t="s">
        <v>202</v>
      </c>
      <c r="B9" s="340" cm="1">
        <f t="array" ref="B9">SUM(B10:B24*'Clés de répartition'!$D$135:$D$149)/'Clés de répartition'!$D$134</f>
        <v>0.24627534784880667</v>
      </c>
      <c r="C9" s="340" cm="1">
        <f t="array" ref="C9">SUM(C10:C24*'Clés de répartition'!$D$135:$D$149)/'Clés de répartition'!$D$134</f>
        <v>0.39615412169174247</v>
      </c>
      <c r="D9" s="340" cm="1">
        <f t="array" ref="D9">SUM(D10:D24*'Clés de répartition'!$D$135:$D$149)/'Clés de répartition'!$D$134</f>
        <v>0.23647651338926437</v>
      </c>
      <c r="E9" s="340" cm="1">
        <f t="array" ref="E9">SUM(E10:E24*'Clés de répartition'!$D$135:$D$149)/'Clés de répartition'!$D$134</f>
        <v>0.12146015736439954</v>
      </c>
      <c r="F9" s="484" cm="1">
        <f t="array" ref="F9">SUM(F10:F24*'Clés de répartition'!$D$135:$D$149)/'Clés de répartition'!$D$134</f>
        <v>1.0539780161850147</v>
      </c>
      <c r="G9" s="484" cm="1">
        <f t="array" ref="G9">SUM(G10:G24*'Clés de répartition'!$D$135:$D$149)/'Clés de répartition'!$D$134</f>
        <v>24.975695531403716</v>
      </c>
      <c r="H9" s="484" cm="1">
        <f t="array" ref="H9">SUM(H10:H24*'Clés de répartition'!$D$135:$D$149)/'Clés de répartition'!$D$134</f>
        <v>38.742075734636217</v>
      </c>
      <c r="I9" s="484" cm="1">
        <f t="array" ref="I9">SUM(I10:I24*'Clés de répartition'!$D$135:$D$149)/'Clés de répartition'!$D$134</f>
        <v>16.380083232682381</v>
      </c>
      <c r="J9" s="484" cm="1">
        <f t="array" ref="J9">SUM(J10:J24*'Clés de répartition'!$D$135:$D$149)/'Clés de répartition'!$D$134</f>
        <v>15.443486666627914</v>
      </c>
      <c r="K9" s="484" cm="1">
        <f t="array" ref="K9">SUM(K10:K24*'Clés de répartition'!$D$135:$D$149)/'Clés de répartition'!$D$134</f>
        <v>19.104103579781928</v>
      </c>
      <c r="L9" s="484" cm="1">
        <f t="array" ref="L9">SUM(L10:L24*'Clés de répartition'!$D$135:$D$149)/'Clés de répartition'!$D$134</f>
        <v>10.053028717090811</v>
      </c>
      <c r="M9" s="484" cm="1">
        <f t="array" ref="M9">SUM(M10:M24*'Clés de répartition'!$D$135:$D$149)/'Clés de répartition'!$D$134</f>
        <v>4.3208949340223093</v>
      </c>
      <c r="N9" s="484" cm="1">
        <f t="array" ref="N9">SUM(N10:N24*'Clés de répartition'!$D$135:$D$149)/'Clés de répartition'!$D$134</f>
        <v>1.1058384539930508</v>
      </c>
      <c r="O9" s="484" cm="1">
        <f t="array" ref="O9">SUM(O10:O24*'Clés de répartition'!$D$135:$D$149)/'Clés de répartition'!$D$134</f>
        <v>43.053856216217035</v>
      </c>
      <c r="P9" s="17">
        <f>SUM(P10:P24)</f>
        <v>1.0000000000000004</v>
      </c>
      <c r="Q9" s="489">
        <f>('Clés de répartition'!B50-'Clés de répartition'!G50)*'Clés de répartition'!D134</f>
        <v>0</v>
      </c>
      <c r="R9" s="21">
        <f>('Clés de répartition'!C50-'Clés de répartition'!H50)*'Clés de répartition'!D134</f>
        <v>0</v>
      </c>
      <c r="S9" s="21">
        <f>('Clés de répartition'!D50-'Clés de répartition'!I50)*'Clés de répartition'!D134</f>
        <v>0</v>
      </c>
      <c r="T9" s="54">
        <f>SUM(T10:T24)</f>
        <v>0</v>
      </c>
      <c r="U9" s="54">
        <f>SUM(U10:U24)</f>
        <v>0</v>
      </c>
      <c r="V9" s="54">
        <f>T9+U9</f>
        <v>0</v>
      </c>
      <c r="W9" s="54">
        <f>SUM(W10:W24)</f>
        <v>0</v>
      </c>
      <c r="X9" s="54">
        <f>SUM(X10:X24)</f>
        <v>0</v>
      </c>
      <c r="Y9" s="54">
        <f>SUM(Y10:Y24)</f>
        <v>0</v>
      </c>
      <c r="Z9" s="54">
        <f>X9+Y9</f>
        <v>0</v>
      </c>
      <c r="AA9" s="54">
        <f>Z9+V9</f>
        <v>0</v>
      </c>
      <c r="AB9" s="53" t="e">
        <f>((AK12+AK13)*Q9+(AE12+AE13)*R9+(AF12+AF13)*S9)/Q9</f>
        <v>#DIV/0!</v>
      </c>
      <c r="AC9" s="159" t="s">
        <v>761</v>
      </c>
      <c r="AD9" s="53">
        <f>'Résultats finaux - PAR PERSONNE'!C20</f>
        <v>5976.1963556096825</v>
      </c>
      <c r="AE9" s="53">
        <f>'Résultats finaux - PAR PERSONNE'!F20</f>
        <v>4991.6517378241297</v>
      </c>
      <c r="AF9" s="53">
        <f>'Résultats finaux - PAR PERSONNE'!I20</f>
        <v>2769.903951251305</v>
      </c>
      <c r="AG9" s="53">
        <f>'Résultats finaux - PAR PERSONNE'!L20</f>
        <v>2078.4828105786773</v>
      </c>
      <c r="AH9" s="427"/>
      <c r="AI9" s="159"/>
      <c r="AJ9" t="s">
        <v>761</v>
      </c>
      <c r="AK9" s="53">
        <v>5976.1963556096825</v>
      </c>
      <c r="AL9" s="53">
        <v>4991.6517378241297</v>
      </c>
      <c r="AM9" s="53">
        <v>2769.903951251305</v>
      </c>
      <c r="AN9" s="53">
        <v>2078.4828105786773</v>
      </c>
      <c r="AP9" t="s">
        <v>761</v>
      </c>
      <c r="AQ9" s="54">
        <f>AD9-AK9</f>
        <v>0</v>
      </c>
      <c r="AR9" s="54">
        <f t="shared" ref="AR9:AT9" si="0">AE9-AL9</f>
        <v>0</v>
      </c>
      <c r="AS9" s="54">
        <f t="shared" si="0"/>
        <v>0</v>
      </c>
      <c r="AT9" s="54">
        <f t="shared" si="0"/>
        <v>0</v>
      </c>
      <c r="AW9" s="107" t="s">
        <v>202</v>
      </c>
      <c r="AX9" s="54">
        <f>SUM(AX10:AX24)</f>
        <v>419037684.75726545</v>
      </c>
      <c r="AY9" s="54">
        <f>SUM(AY10:AY24)</f>
        <v>419037684.75726545</v>
      </c>
      <c r="AZ9" s="491">
        <f>(AX9-AY9)/AY9</f>
        <v>0</v>
      </c>
    </row>
    <row r="10" spans="1:52">
      <c r="A10" s="597" t="s">
        <v>71</v>
      </c>
      <c r="B10" s="340">
        <v>0.36540063973335501</v>
      </c>
      <c r="C10" s="340">
        <v>0.26575276187404201</v>
      </c>
      <c r="D10" s="340">
        <v>0.252076445447947</v>
      </c>
      <c r="E10" s="340">
        <v>0.116770152944655</v>
      </c>
      <c r="F10" s="484">
        <v>1.0602930556083501</v>
      </c>
      <c r="G10" s="484">
        <v>21.8065896719141</v>
      </c>
      <c r="H10" s="484">
        <v>58.096988577362403</v>
      </c>
      <c r="I10" s="484">
        <v>8.2625229259970201</v>
      </c>
      <c r="J10" s="484">
        <v>14.3176879517518</v>
      </c>
      <c r="K10" s="484">
        <v>23.293180815065501</v>
      </c>
      <c r="L10" s="484">
        <v>24.155631751426199</v>
      </c>
      <c r="M10" s="484">
        <v>2.4609383663894202</v>
      </c>
      <c r="N10" s="484">
        <v>1.03853874131025</v>
      </c>
      <c r="O10" s="484">
        <v>32.656423422098001</v>
      </c>
      <c r="P10" s="17">
        <v>0</v>
      </c>
      <c r="Q10" s="489">
        <f>('Clés de répartition'!B51-'Clés de répartition'!G51)*'Clés de répartition'!D135</f>
        <v>0</v>
      </c>
      <c r="R10" s="21">
        <f>('Clés de répartition'!C51-'Clés de répartition'!H51)*'Clés de répartition'!D135</f>
        <v>0</v>
      </c>
      <c r="S10" s="21">
        <f>('Clés de répartition'!D51-'Clés de répartition'!I51)*'Clés de répartition'!D135</f>
        <v>0</v>
      </c>
      <c r="T10" s="54">
        <f>(('Clés de répartition'!B51*'Auto - résumé'!D4-'Clés de répartition'!G51*'Auto - fixe'!D4)+('Clés de répartition'!C51*'TC - résumé'!D4-'Clés de répartition'!H51*'TC - fixe'!D4)+('Clés de répartition'!D51*'Vélo - résumé'!D4-'Clés de répartition'!I51*'Vélo - fixe'!D4))*'Clés de répartition'!D135</f>
        <v>0</v>
      </c>
      <c r="U10" s="54">
        <f>(('Clés de répartition'!B51*('Auto - résumé'!B4+'Auto - résumé'!C4)-'Clés de répartition'!G51*('Auto - fixe'!B4+'Auto - fixe'!C4))+('Clés de répartition'!C51*('TC - résumé'!B4+'TC - résumé'!C4)-'Clés de répartition'!H51*('TC - fixe'!B4+'TC - fixe'!C4))+('Clés de répartition'!D51*('Vélo - résumé'!B4+'Vélo - résumé'!C4)-'Clés de répartition'!I51*('Vélo - fixe'!B4+'Vélo - fixe'!C4)))*'Clés de répartition'!D135</f>
        <v>0</v>
      </c>
      <c r="V10" s="54">
        <f t="shared" ref="V10:V44" si="1">T10+U10</f>
        <v>0</v>
      </c>
      <c r="W10" s="54">
        <f>(('Clés de répartition'!B51*('Auto - résumé'!F4)-'Clés de répartition'!G51*('Auto - fixe'!F4)))*'Clés de répartition'!D135</f>
        <v>0</v>
      </c>
      <c r="X10" s="54">
        <f>(('Clés de répartition'!B51*'Auto - résumé'!E4-'Clés de répartition'!G51*'Auto - fixe'!E4)+('Clés de répartition'!C51*'TC - résumé'!E4-'Clés de répartition'!H51*'TC - fixe'!E4)+('Clés de répartition'!D51*'Vélo - résumé'!E4-'Clés de répartition'!I51*'Vélo - fixe'!E4))*'Clés de répartition'!D135</f>
        <v>0</v>
      </c>
      <c r="Y10" s="54">
        <f>(('Clés de répartition'!B51*('Auto - résumé'!F4+'Auto - résumé'!G4+'Auto - résumé'!H4)-'Clés de répartition'!G51*('Auto - fixe'!F4+'Auto - fixe'!G4+'Auto - fixe'!H4))+('Clés de répartition'!C51*('TC - résumé'!F4+'TC - résumé'!G4)-'Clés de répartition'!H51*('TC - fixe'!F4+'TC - fixe'!G4))+('Clés de répartition'!D51*('Vélo - résumé'!F4+'Vélo - résumé'!G4)-'Clés de répartition'!I51*('Vélo - fixe'!F4+'Vélo - fixe'!G4)))*'Clés de répartition'!D135</f>
        <v>0</v>
      </c>
      <c r="Z10" s="54">
        <f t="shared" ref="Z10:Z44" si="2">X10+Y10</f>
        <v>0</v>
      </c>
      <c r="AA10" s="54">
        <f t="shared" ref="AA10:AA44" si="3">Z10+V10</f>
        <v>0</v>
      </c>
      <c r="AB10" s="159" t="s">
        <v>1083</v>
      </c>
      <c r="AC10" t="s">
        <v>651</v>
      </c>
      <c r="AD10" s="54">
        <f>SUM('Résultats finaux - PAR PERSONNE'!C4:C8)</f>
        <v>3765.0199760258838</v>
      </c>
      <c r="AE10" s="54">
        <f>SUM('Résultats finaux - PAR PERSONNE'!F4:F8)</f>
        <v>579.22162034829705</v>
      </c>
      <c r="AF10" s="54">
        <f>SUM('Résultats finaux - PAR PERSONNE'!I4:I8)</f>
        <v>404.75158886260806</v>
      </c>
      <c r="AG10" s="54">
        <f>SUM('Résultats finaux - PAR PERSONNE'!L4:L8)</f>
        <v>217.42167565007125</v>
      </c>
      <c r="AH10" s="427"/>
      <c r="AI10" s="54"/>
      <c r="AJ10" t="s">
        <v>651</v>
      </c>
      <c r="AK10" s="53">
        <v>3765.0199760258838</v>
      </c>
      <c r="AL10" s="53">
        <v>579.22162034829705</v>
      </c>
      <c r="AM10" s="53">
        <v>404.75158886260806</v>
      </c>
      <c r="AN10" s="53">
        <v>217.42167565007125</v>
      </c>
      <c r="AP10" t="s">
        <v>651</v>
      </c>
      <c r="AQ10" s="54">
        <f t="shared" ref="AQ10:AQ17" si="4">AD10-AK10</f>
        <v>0</v>
      </c>
      <c r="AR10" s="54">
        <f t="shared" ref="AR10:AR17" si="5">AE10-AL10</f>
        <v>0</v>
      </c>
      <c r="AS10" s="54">
        <f t="shared" ref="AS10:AS17" si="6">AF10-AM10</f>
        <v>0</v>
      </c>
      <c r="AT10" s="54">
        <f t="shared" ref="AT10:AT17" si="7">AG10-AN10</f>
        <v>0</v>
      </c>
      <c r="AW10" s="597" t="s">
        <v>71</v>
      </c>
      <c r="AX10" s="54">
        <f>('Clés de répartition'!B51*'Auto - résumé'!F4)*'Clés de répartition'!D135</f>
        <v>859691.37144024088</v>
      </c>
      <c r="AY10" s="54">
        <f>'Clés de répartition'!G51*'Auto - fixe'!F4*'Clés de répartition'!D135</f>
        <v>859691.37144024088</v>
      </c>
      <c r="AZ10" s="491">
        <f t="shared" ref="AZ10:AZ44" si="8">(AX10-AY10)/AY10</f>
        <v>0</v>
      </c>
    </row>
    <row r="11" spans="1:52">
      <c r="A11" s="597" t="s">
        <v>72</v>
      </c>
      <c r="B11" s="340">
        <v>0.50748499381134804</v>
      </c>
      <c r="C11" s="340">
        <v>0.31922671153295901</v>
      </c>
      <c r="D11" s="340">
        <v>0.14940595834468201</v>
      </c>
      <c r="E11" s="340">
        <v>2.38823363110117E-2</v>
      </c>
      <c r="F11" s="484">
        <v>1.16526484230623</v>
      </c>
      <c r="G11" s="484">
        <v>22.013292446388999</v>
      </c>
      <c r="H11" s="484">
        <v>46.033983056262798</v>
      </c>
      <c r="I11" s="484">
        <v>11.390054748210201</v>
      </c>
      <c r="J11" s="484">
        <v>12.228569366247999</v>
      </c>
      <c r="K11" s="484">
        <v>21.4218698728553</v>
      </c>
      <c r="L11" s="484">
        <v>17.261577695396099</v>
      </c>
      <c r="M11" s="484">
        <v>3.4237569156393</v>
      </c>
      <c r="N11" s="484">
        <v>0.90744911216977098</v>
      </c>
      <c r="O11" s="484">
        <v>35.308301261256403</v>
      </c>
      <c r="P11" s="17">
        <v>7.1426883740278897E-3</v>
      </c>
      <c r="Q11" s="489">
        <f>('Clés de répartition'!G52-'Clés de répartition'!B52)*'Clés de répartition'!D136</f>
        <v>0</v>
      </c>
      <c r="R11" s="21">
        <f>('Clés de répartition'!H52-'Clés de répartition'!C52)*'Clés de répartition'!D136</f>
        <v>0</v>
      </c>
      <c r="S11" s="21">
        <f>('Clés de répartition'!I52-'Clés de répartition'!D52)*'Clés de répartition'!D136</f>
        <v>0</v>
      </c>
      <c r="T11" s="54">
        <f>(('Clés de répartition'!B52*'Auto - résumé'!D5-'Clés de répartition'!G52*'Auto - fixe'!D5)+('Clés de répartition'!C52*'TC - résumé'!D5-'Clés de répartition'!H52*'TC - fixe'!D5)+('Clés de répartition'!D52*'Vélo - résumé'!D5-'Clés de répartition'!I52*'Vélo - fixe'!D5))*'Clés de répartition'!D136</f>
        <v>0</v>
      </c>
      <c r="U11" s="54">
        <f>(('Clés de répartition'!B52*('Auto - résumé'!B5+'Auto - résumé'!C5)-'Clés de répartition'!G52*('Auto - fixe'!B5+'Auto - fixe'!C5))+('Clés de répartition'!C52*('TC - résumé'!B5+'TC - résumé'!C5)-'Clés de répartition'!H52*('TC - fixe'!B5+'TC - fixe'!C5))+('Clés de répartition'!D52*('Vélo - résumé'!B5+'Vélo - résumé'!C5)-'Clés de répartition'!I52*('Vélo - fixe'!B5+'Vélo - fixe'!C5)))*'Clés de répartition'!D136</f>
        <v>0</v>
      </c>
      <c r="V11" s="54">
        <f t="shared" si="1"/>
        <v>0</v>
      </c>
      <c r="W11" s="54">
        <f>(('Clés de répartition'!B52*('Auto - résumé'!F5)-'Clés de répartition'!G52*('Auto - fixe'!F5)))*'Clés de répartition'!D136</f>
        <v>0</v>
      </c>
      <c r="X11" s="54">
        <f>(('Clés de répartition'!B52*'Auto - résumé'!E5-'Clés de répartition'!G52*'Auto - fixe'!E5)+('Clés de répartition'!C52*'TC - résumé'!E5-'Clés de répartition'!H52*'TC - fixe'!E5)+('Clés de répartition'!D52*'Vélo - résumé'!E5-'Clés de répartition'!I52*'Vélo - fixe'!E5))*'Clés de répartition'!D136</f>
        <v>0</v>
      </c>
      <c r="Y11" s="54">
        <f>(('Clés de répartition'!B52*('Auto - résumé'!F5+'Auto - résumé'!G5+'Auto - résumé'!H5)-'Clés de répartition'!G52*('Auto - fixe'!F5+'Auto - fixe'!G5+'Auto - fixe'!H5))+('Clés de répartition'!C52*('TC - résumé'!F5+'TC - résumé'!G5)-'Clés de répartition'!H52*('TC - fixe'!F5+'TC - fixe'!G5))+('Clés de répartition'!D52*('Vélo - résumé'!F5+'Vélo - résumé'!G5)-'Clés de répartition'!I52*('Vélo - fixe'!F5+'Vélo - fixe'!G5)))*'Clés de répartition'!D136</f>
        <v>0</v>
      </c>
      <c r="Z11" s="54">
        <f t="shared" si="2"/>
        <v>0</v>
      </c>
      <c r="AA11" s="54">
        <f t="shared" si="3"/>
        <v>0</v>
      </c>
      <c r="AB11" s="54" t="e">
        <f>((AK9)*Q9+(AE9)*R9+(AF9)*S9)/Q9</f>
        <v>#DIV/0!</v>
      </c>
      <c r="AC11" s="159" t="s">
        <v>787</v>
      </c>
      <c r="AD11" s="54">
        <f>'Résultats finaux - PAR PERSONNE'!C9</f>
        <v>2167.4910009752771</v>
      </c>
      <c r="AE11" s="54">
        <f>'Résultats finaux - PAR PERSONNE'!F9</f>
        <v>4412.430117475833</v>
      </c>
      <c r="AF11" s="54">
        <f>'Résultats finaux - PAR PERSONNE'!I9</f>
        <v>2365.1523623886969</v>
      </c>
      <c r="AG11" s="54">
        <f>'Résultats finaux - PAR PERSONNE'!L9</f>
        <v>1861.061134928606</v>
      </c>
      <c r="AJ11" s="159" t="s">
        <v>787</v>
      </c>
      <c r="AK11" s="53">
        <v>2167.4910009752771</v>
      </c>
      <c r="AL11" s="53">
        <v>4412.430117475833</v>
      </c>
      <c r="AM11" s="53">
        <v>2365.1523623886969</v>
      </c>
      <c r="AN11" s="53">
        <v>1861.061134928606</v>
      </c>
      <c r="AP11" s="159" t="s">
        <v>787</v>
      </c>
      <c r="AQ11" s="54">
        <f t="shared" si="4"/>
        <v>0</v>
      </c>
      <c r="AR11" s="54">
        <f t="shared" si="5"/>
        <v>0</v>
      </c>
      <c r="AS11" s="54">
        <f t="shared" si="6"/>
        <v>0</v>
      </c>
      <c r="AT11" s="54">
        <f t="shared" si="7"/>
        <v>0</v>
      </c>
      <c r="AW11" s="597" t="s">
        <v>72</v>
      </c>
      <c r="AX11" s="54">
        <f>('Clés de répartition'!B52*'Auto - résumé'!F5)*'Clés de répartition'!D136</f>
        <v>5971123.234144181</v>
      </c>
      <c r="AY11" s="54">
        <f>'Clés de répartition'!G52*'Auto - fixe'!F5*'Clés de répartition'!D136</f>
        <v>5971123.234144181</v>
      </c>
      <c r="AZ11" s="491">
        <f t="shared" si="8"/>
        <v>0</v>
      </c>
    </row>
    <row r="12" spans="1:52">
      <c r="A12" s="597" t="s">
        <v>73</v>
      </c>
      <c r="B12" s="340">
        <v>0.218561036564345</v>
      </c>
      <c r="C12" s="340">
        <v>0.36156841122126399</v>
      </c>
      <c r="D12" s="340">
        <v>0.38211443658910099</v>
      </c>
      <c r="E12" s="340">
        <v>3.7756115625290902E-2</v>
      </c>
      <c r="F12" s="484">
        <v>1.0274319606231099</v>
      </c>
      <c r="G12" s="484">
        <v>25.618687441932298</v>
      </c>
      <c r="H12" s="484">
        <v>42.446271099963703</v>
      </c>
      <c r="I12" s="484">
        <v>18.130403232931101</v>
      </c>
      <c r="J12" s="484">
        <v>14.113383277338199</v>
      </c>
      <c r="K12" s="484">
        <v>16.471054263602198</v>
      </c>
      <c r="L12" s="484">
        <v>9.0731046990138609</v>
      </c>
      <c r="M12" s="484">
        <v>4.9746891154951003</v>
      </c>
      <c r="N12" s="484">
        <v>1.01404031646256</v>
      </c>
      <c r="O12" s="484">
        <v>44.634565870120298</v>
      </c>
      <c r="P12" s="17">
        <v>2.8639809311273499E-2</v>
      </c>
      <c r="Q12" s="489">
        <f>('Clés de répartition'!B53-'Clés de répartition'!G53)*'Clés de répartition'!D137</f>
        <v>0</v>
      </c>
      <c r="R12" s="21">
        <f>('Clés de répartition'!C53-'Clés de répartition'!H53)*'Clés de répartition'!D137</f>
        <v>0</v>
      </c>
      <c r="S12" s="21">
        <f>('Clés de répartition'!D53-'Clés de répartition'!I53)*'Clés de répartition'!D137</f>
        <v>0</v>
      </c>
      <c r="T12" s="54">
        <f>(('Clés de répartition'!B53*'Auto - résumé'!D6-'Clés de répartition'!G53*'Auto - fixe'!D6)+('Clés de répartition'!C53*'TC - résumé'!D6-'Clés de répartition'!H53*'TC - fixe'!D6)+('Clés de répartition'!D53*'Vélo - résumé'!D6-'Clés de répartition'!I53*'Vélo - fixe'!D6))*'Clés de répartition'!D137</f>
        <v>0</v>
      </c>
      <c r="U12" s="54">
        <f>(('Clés de répartition'!B53*('Auto - résumé'!B6+'Auto - résumé'!C6)-'Clés de répartition'!G53*('Auto - fixe'!B6+'Auto - fixe'!C6))+('Clés de répartition'!C53*('TC - résumé'!B6+'TC - résumé'!C6)-'Clés de répartition'!H53*('TC - fixe'!B6+'TC - fixe'!C6))+('Clés de répartition'!D53*('Vélo - résumé'!B6+'Vélo - résumé'!C6)-'Clés de répartition'!I53*('Vélo - fixe'!B6+'Vélo - fixe'!C6)))*'Clés de répartition'!D137</f>
        <v>0</v>
      </c>
      <c r="V12" s="54">
        <f t="shared" si="1"/>
        <v>0</v>
      </c>
      <c r="W12" s="54">
        <f>(('Clés de répartition'!B53*('Auto - résumé'!F6)-'Clés de répartition'!G53*('Auto - fixe'!F6)))*'Clés de répartition'!D137</f>
        <v>0</v>
      </c>
      <c r="X12" s="54">
        <f>(('Clés de répartition'!B53*'Auto - résumé'!E6-'Clés de répartition'!G53*'Auto - fixe'!E6)+('Clés de répartition'!C53*'TC - résumé'!E6-'Clés de répartition'!H53*'TC - fixe'!E6)+('Clés de répartition'!D53*'Vélo - résumé'!E6-'Clés de répartition'!I53*'Vélo - fixe'!E6))*'Clés de répartition'!D137</f>
        <v>0</v>
      </c>
      <c r="Y12" s="54">
        <f>(('Clés de répartition'!B53*('Auto - résumé'!F6+'Auto - résumé'!G6+'Auto - résumé'!H6)-'Clés de répartition'!G53*('Auto - fixe'!F6+'Auto - fixe'!G6+'Auto - fixe'!H6))+('Clés de répartition'!C53*('TC - résumé'!F6+'TC - résumé'!G6)-'Clés de répartition'!H53*('TC - fixe'!F6+'TC - fixe'!G6))+('Clés de répartition'!D53*('Vélo - résumé'!F6+'Vélo - résumé'!G6)-'Clés de répartition'!I53*('Vélo - fixe'!F6+'Vélo - fixe'!G6)))*'Clés de répartition'!D137</f>
        <v>0</v>
      </c>
      <c r="Z12" s="54">
        <f t="shared" si="2"/>
        <v>0</v>
      </c>
      <c r="AA12" s="54">
        <f t="shared" si="3"/>
        <v>0</v>
      </c>
      <c r="AC12" t="s">
        <v>762</v>
      </c>
      <c r="AD12" s="53">
        <f>'Résultats finaux - PAR PERSONNE'!D20</f>
        <v>2849.9270299362952</v>
      </c>
      <c r="AE12" s="53">
        <f>'Résultats finaux - PAR PERSONNE'!G20</f>
        <v>2543.3237772488219</v>
      </c>
      <c r="AF12" s="53">
        <f>'Résultats finaux - PAR PERSONNE'!J20</f>
        <v>786.06287538405513</v>
      </c>
      <c r="AG12" s="53">
        <f>'Résultats finaux - PAR PERSONNE'!M20</f>
        <v>209.92313869282276</v>
      </c>
      <c r="AJ12" t="s">
        <v>762</v>
      </c>
      <c r="AK12" s="53">
        <v>2849.9270299362952</v>
      </c>
      <c r="AL12" s="53">
        <v>2543.3237772488219</v>
      </c>
      <c r="AM12" s="53">
        <v>786.06287538405513</v>
      </c>
      <c r="AN12" s="53">
        <v>209.92313869282276</v>
      </c>
      <c r="AP12" t="s">
        <v>762</v>
      </c>
      <c r="AQ12" s="54">
        <f t="shared" si="4"/>
        <v>0</v>
      </c>
      <c r="AR12" s="54">
        <f t="shared" si="5"/>
        <v>0</v>
      </c>
      <c r="AS12" s="54">
        <f t="shared" si="6"/>
        <v>0</v>
      </c>
      <c r="AT12" s="54">
        <f t="shared" si="7"/>
        <v>0</v>
      </c>
      <c r="AW12" s="597" t="s">
        <v>73</v>
      </c>
      <c r="AX12" s="54">
        <f>('Clés de répartition'!B53*'Auto - résumé'!F6)*'Clés de répartition'!D137</f>
        <v>6112318.8897324773</v>
      </c>
      <c r="AY12" s="54">
        <f>'Clés de répartition'!G53*'Auto - fixe'!F6*'Clés de répartition'!D137</f>
        <v>6112318.8897324773</v>
      </c>
      <c r="AZ12" s="491">
        <f t="shared" si="8"/>
        <v>0</v>
      </c>
    </row>
    <row r="13" spans="1:52">
      <c r="A13" s="597" t="s">
        <v>74</v>
      </c>
      <c r="B13" s="340">
        <v>0.49579668563503798</v>
      </c>
      <c r="C13" s="340">
        <v>0.240737127569082</v>
      </c>
      <c r="D13" s="340">
        <v>0.239838071683038</v>
      </c>
      <c r="E13" s="340">
        <v>2.3628115112841699E-2</v>
      </c>
      <c r="F13" s="484">
        <v>1.1062001205055301</v>
      </c>
      <c r="G13" s="484">
        <v>24.252374420497599</v>
      </c>
      <c r="H13" s="484">
        <v>53.407342057108302</v>
      </c>
      <c r="I13" s="484">
        <v>13.662731324328099</v>
      </c>
      <c r="J13" s="484">
        <v>16.347500445553401</v>
      </c>
      <c r="K13" s="484">
        <v>20.3753583182928</v>
      </c>
      <c r="L13" s="484">
        <v>16.134941794530199</v>
      </c>
      <c r="M13" s="484">
        <v>3.9687018622998398</v>
      </c>
      <c r="N13" s="484">
        <v>1.1932602625794599</v>
      </c>
      <c r="O13" s="484">
        <v>42.0571823618926</v>
      </c>
      <c r="P13" s="17">
        <v>2.6796396922527398E-2</v>
      </c>
      <c r="Q13" s="489">
        <f>('Clés de répartition'!B54-'Clés de répartition'!G54)*'Clés de répartition'!D138</f>
        <v>0</v>
      </c>
      <c r="R13" s="21">
        <f>('Clés de répartition'!C54-'Clés de répartition'!H54)*'Clés de répartition'!D138</f>
        <v>0</v>
      </c>
      <c r="S13" s="21">
        <f>('Clés de répartition'!D54-'Clés de répartition'!I54)*'Clés de répartition'!D138</f>
        <v>0</v>
      </c>
      <c r="T13" s="54">
        <f>(('Clés de répartition'!B54*'Auto - résumé'!D7-'Clés de répartition'!G54*'Auto - fixe'!D7)+('Clés de répartition'!C54*'TC - résumé'!D7-'Clés de répartition'!H54*'TC - fixe'!D7)+('Clés de répartition'!D54*'Vélo - résumé'!D7-'Clés de répartition'!I54*'Vélo - fixe'!D7))*'Clés de répartition'!D138</f>
        <v>0</v>
      </c>
      <c r="U13" s="54">
        <f>(('Clés de répartition'!B54*('Auto - résumé'!B7+'Auto - résumé'!C7)-'Clés de répartition'!G54*('Auto - fixe'!B7+'Auto - fixe'!C7))+('Clés de répartition'!C54*('TC - résumé'!B7+'TC - résumé'!C7)-'Clés de répartition'!H54*('TC - fixe'!B7+'TC - fixe'!C7))+('Clés de répartition'!D54*('Vélo - résumé'!B7+'Vélo - résumé'!C7)-'Clés de répartition'!I54*('Vélo - fixe'!B7+'Vélo - fixe'!C7)))*'Clés de répartition'!D138</f>
        <v>0</v>
      </c>
      <c r="V13" s="54">
        <f t="shared" si="1"/>
        <v>0</v>
      </c>
      <c r="W13" s="54">
        <f>(('Clés de répartition'!B54*('Auto - résumé'!F7)-'Clés de répartition'!G54*('Auto - fixe'!F7)))*'Clés de répartition'!D138</f>
        <v>0</v>
      </c>
      <c r="X13" s="54">
        <f>(('Clés de répartition'!B54*'Auto - résumé'!E7-'Clés de répartition'!G54*'Auto - fixe'!E7)+('Clés de répartition'!C54*'TC - résumé'!E7-'Clés de répartition'!H54*'TC - fixe'!E7)+('Clés de répartition'!D54*'Vélo - résumé'!E7-'Clés de répartition'!I54*'Vélo - fixe'!E7))*'Clés de répartition'!D138</f>
        <v>0</v>
      </c>
      <c r="Y13" s="54">
        <f>(('Clés de répartition'!B54*('Auto - résumé'!F7+'Auto - résumé'!G7+'Auto - résumé'!H7)-'Clés de répartition'!G54*('Auto - fixe'!F7+'Auto - fixe'!G7+'Auto - fixe'!H7))+('Clés de répartition'!C54*('TC - résumé'!F7+'TC - résumé'!G7)-'Clés de répartition'!H54*('TC - fixe'!F7+'TC - fixe'!G7))+('Clés de répartition'!D54*('Vélo - résumé'!F7+'Vélo - résumé'!G7)-'Clés de répartition'!I54*('Vélo - fixe'!F7+'Vélo - fixe'!G7)))*'Clés de répartition'!D138</f>
        <v>0</v>
      </c>
      <c r="Z13" s="54">
        <f t="shared" si="2"/>
        <v>0</v>
      </c>
      <c r="AA13" s="54">
        <f t="shared" si="3"/>
        <v>0</v>
      </c>
      <c r="AC13" t="s">
        <v>763</v>
      </c>
      <c r="AD13" s="53">
        <f>'Résultats finaux - PAR PERSONNE'!E20</f>
        <v>6419.5033453279648</v>
      </c>
      <c r="AE13" s="53">
        <f>'Résultats finaux - PAR PERSONNE'!H20</f>
        <v>-94.43847779899437</v>
      </c>
      <c r="AF13" s="53">
        <f>'Résultats finaux - PAR PERSONNE'!K20</f>
        <v>-1123.6978449387911</v>
      </c>
      <c r="AG13" s="53">
        <f>'Résultats finaux - PAR PERSONNE'!N20</f>
        <v>-237.68252549236274</v>
      </c>
      <c r="AH13" s="427"/>
      <c r="AI13" s="174" t="s">
        <v>768</v>
      </c>
      <c r="AJ13" t="s">
        <v>763</v>
      </c>
      <c r="AK13" s="53">
        <v>6419.5033453279648</v>
      </c>
      <c r="AL13" s="53">
        <v>-94.43847779899437</v>
      </c>
      <c r="AM13" s="53">
        <v>-1123.6978449387911</v>
      </c>
      <c r="AN13" s="53">
        <v>-237.68252549236274</v>
      </c>
      <c r="AP13" t="s">
        <v>763</v>
      </c>
      <c r="AQ13" s="54">
        <f t="shared" si="4"/>
        <v>0</v>
      </c>
      <c r="AR13" s="54">
        <f t="shared" si="5"/>
        <v>0</v>
      </c>
      <c r="AS13" s="54">
        <f t="shared" si="6"/>
        <v>0</v>
      </c>
      <c r="AT13" s="54">
        <f t="shared" si="7"/>
        <v>0</v>
      </c>
      <c r="AW13" s="597" t="s">
        <v>74</v>
      </c>
      <c r="AX13" s="54">
        <f>('Clés de répartition'!B54*'Auto - résumé'!F7)*'Clés de répartition'!D138</f>
        <v>16483177.883636517</v>
      </c>
      <c r="AY13" s="54">
        <f>'Clés de répartition'!G54*'Auto - fixe'!F7*'Clés de répartition'!D138</f>
        <v>16483177.883636517</v>
      </c>
      <c r="AZ13" s="491">
        <f t="shared" si="8"/>
        <v>0</v>
      </c>
    </row>
    <row r="14" spans="1:52">
      <c r="A14" s="597" t="s">
        <v>86</v>
      </c>
      <c r="B14" s="340">
        <v>0.51996176564846797</v>
      </c>
      <c r="C14" s="340">
        <v>0.26237083973620301</v>
      </c>
      <c r="D14" s="340">
        <v>0.17666216838611701</v>
      </c>
      <c r="E14" s="340">
        <v>4.1005226229211399E-2</v>
      </c>
      <c r="F14" s="484">
        <v>1.0986642104056401</v>
      </c>
      <c r="G14" s="484">
        <v>18.441486897462699</v>
      </c>
      <c r="H14" s="484">
        <v>45.8294010286846</v>
      </c>
      <c r="I14" s="484">
        <v>13.2210306919819</v>
      </c>
      <c r="J14" s="484">
        <v>22.6647437641723</v>
      </c>
      <c r="K14" s="484">
        <v>16.722716906272801</v>
      </c>
      <c r="L14" s="484">
        <v>16.002991548909801</v>
      </c>
      <c r="M14" s="484">
        <v>3.8653051127571501</v>
      </c>
      <c r="N14" s="484">
        <v>1.6402403628117901</v>
      </c>
      <c r="O14" s="484">
        <v>29.723015783130101</v>
      </c>
      <c r="P14" s="17">
        <v>1.0139619397400599E-2</v>
      </c>
      <c r="Q14" s="489">
        <f>('Clés de répartition'!B55-'Clés de répartition'!G55)*'Clés de répartition'!D139</f>
        <v>0</v>
      </c>
      <c r="R14" s="21">
        <f>('Clés de répartition'!C55-'Clés de répartition'!H55)*'Clés de répartition'!D139</f>
        <v>0</v>
      </c>
      <c r="S14" s="21">
        <f>('Clés de répartition'!D55-'Clés de répartition'!I55)*'Clés de répartition'!D139</f>
        <v>0</v>
      </c>
      <c r="T14" s="54">
        <f>(('Clés de répartition'!B55*'Auto - résumé'!D8-'Clés de répartition'!G55*'Auto - fixe'!D8)+('Clés de répartition'!C55*'TC - résumé'!D8-'Clés de répartition'!H55*'TC - fixe'!D8)+('Clés de répartition'!D55*'Vélo - résumé'!D8-'Clés de répartition'!I55*'Vélo - fixe'!D8))*'Clés de répartition'!D139</f>
        <v>0</v>
      </c>
      <c r="U14" s="54">
        <f>(('Clés de répartition'!B55*('Auto - résumé'!B8+'Auto - résumé'!C8)-'Clés de répartition'!G55*('Auto - fixe'!B8+'Auto - fixe'!C8))+('Clés de répartition'!C55*('TC - résumé'!B8+'TC - résumé'!C8)-'Clés de répartition'!H55*('TC - fixe'!B8+'TC - fixe'!C8))+('Clés de répartition'!D55*('Vélo - résumé'!B8+'Vélo - résumé'!C8)-'Clés de répartition'!I55*('Vélo - fixe'!B8+'Vélo - fixe'!C8)))*'Clés de répartition'!D139</f>
        <v>0</v>
      </c>
      <c r="V14" s="54">
        <f t="shared" si="1"/>
        <v>0</v>
      </c>
      <c r="W14" s="54">
        <f>(('Clés de répartition'!B55*('Auto - résumé'!F8)-'Clés de répartition'!G55*('Auto - fixe'!F8)))*'Clés de répartition'!D139</f>
        <v>0</v>
      </c>
      <c r="X14" s="54">
        <f>(('Clés de répartition'!B55*'Auto - résumé'!E8-'Clés de répartition'!G55*'Auto - fixe'!E8)+('Clés de répartition'!C55*'TC - résumé'!E8-'Clés de répartition'!H55*'TC - fixe'!E8)+('Clés de répartition'!D55*'Vélo - résumé'!E8-'Clés de répartition'!I55*'Vélo - fixe'!E8))*'Clés de répartition'!D139</f>
        <v>0</v>
      </c>
      <c r="Y14" s="54">
        <f>(('Clés de répartition'!B55*('Auto - résumé'!F8+'Auto - résumé'!G8+'Auto - résumé'!H8)-'Clés de répartition'!G55*('Auto - fixe'!F8+'Auto - fixe'!G8+'Auto - fixe'!H8))+('Clés de répartition'!C55*('TC - résumé'!F8+'TC - résumé'!G8)-'Clés de répartition'!H55*('TC - fixe'!F8+'TC - fixe'!G8))+('Clés de répartition'!D55*('Vélo - résumé'!F8+'Vélo - résumé'!G8)-'Clés de répartition'!I55*('Vélo - fixe'!F8+'Vélo - fixe'!G8)))*'Clés de répartition'!D139</f>
        <v>0</v>
      </c>
      <c r="Z14" s="54">
        <f t="shared" si="2"/>
        <v>0</v>
      </c>
      <c r="AA14" s="54">
        <f t="shared" si="3"/>
        <v>0</v>
      </c>
      <c r="AC14" s="159" t="s">
        <v>764</v>
      </c>
      <c r="AD14" s="143">
        <f>'Résultats finaux - PAR PERSONNE'!C22</f>
        <v>3681.9134841751275</v>
      </c>
      <c r="AE14" s="20">
        <f>'Résultats finaux - PAR PERSONNE'!F22</f>
        <v>2590.8969424513016</v>
      </c>
      <c r="AF14" s="20">
        <f>'Résultats finaux - PAR PERSONNE'!I22</f>
        <v>128.76780586503489</v>
      </c>
      <c r="AG14" s="20">
        <f>'Résultats finaux - PAR PERSONNE'!L22</f>
        <v>339.05803657137636</v>
      </c>
      <c r="AH14" s="20">
        <f>SUM(AD14:AG14)</f>
        <v>6740.6362690628403</v>
      </c>
      <c r="AI14" s="20">
        <f>AH14-AO14</f>
        <v>0</v>
      </c>
      <c r="AJ14" s="159" t="s">
        <v>764</v>
      </c>
      <c r="AK14" s="20">
        <v>3681.9134841751275</v>
      </c>
      <c r="AL14" s="20">
        <v>2590.8969424513016</v>
      </c>
      <c r="AM14" s="20">
        <v>128.76780586503489</v>
      </c>
      <c r="AN14" s="20">
        <v>339.05803657137636</v>
      </c>
      <c r="AO14" s="20">
        <f>SUM(AK14:AN14)</f>
        <v>6740.6362690628403</v>
      </c>
      <c r="AP14" s="159" t="s">
        <v>764</v>
      </c>
      <c r="AQ14" s="588">
        <f t="shared" si="4"/>
        <v>0</v>
      </c>
      <c r="AR14" s="588">
        <f t="shared" si="5"/>
        <v>0</v>
      </c>
      <c r="AS14" s="588">
        <f t="shared" si="6"/>
        <v>0</v>
      </c>
      <c r="AT14" s="588">
        <f t="shared" si="7"/>
        <v>0</v>
      </c>
      <c r="AW14" s="597" t="s">
        <v>86</v>
      </c>
      <c r="AX14" s="54">
        <f>('Clés de répartition'!B55*'Auto - résumé'!F8)*'Clés de répartition'!D139</f>
        <v>5882259.3034665994</v>
      </c>
      <c r="AY14" s="54">
        <f>'Clés de répartition'!G55*'Auto - fixe'!F8*'Clés de répartition'!D139</f>
        <v>5882259.3034665994</v>
      </c>
      <c r="AZ14" s="491">
        <f t="shared" si="8"/>
        <v>0</v>
      </c>
    </row>
    <row r="15" spans="1:52">
      <c r="A15" s="597" t="s">
        <v>76</v>
      </c>
      <c r="B15" s="340">
        <v>0.163803108633784</v>
      </c>
      <c r="C15" s="340">
        <v>0.47554956805819798</v>
      </c>
      <c r="D15" s="340">
        <v>0.29391846151255402</v>
      </c>
      <c r="E15" s="340">
        <v>6.6728861795463307E-2</v>
      </c>
      <c r="F15" s="484">
        <v>1.0343126355829799</v>
      </c>
      <c r="G15" s="484">
        <v>18.8758588359144</v>
      </c>
      <c r="H15" s="484">
        <v>32.527667357423397</v>
      </c>
      <c r="I15" s="484">
        <v>16.0713409603432</v>
      </c>
      <c r="J15" s="484">
        <v>14.8265434466607</v>
      </c>
      <c r="K15" s="484">
        <v>14.3192801157999</v>
      </c>
      <c r="L15" s="484">
        <v>7.62068644129016</v>
      </c>
      <c r="M15" s="484">
        <v>4.0891803256146497</v>
      </c>
      <c r="N15" s="484">
        <v>1.0355588306549299</v>
      </c>
      <c r="O15" s="484">
        <v>32.652162613394303</v>
      </c>
      <c r="P15" s="17">
        <v>1.78360415628805E-2</v>
      </c>
      <c r="Q15" s="489">
        <f>('Clés de répartition'!B56-'Clés de répartition'!G56)*'Clés de répartition'!D140</f>
        <v>0</v>
      </c>
      <c r="R15" s="21">
        <f>('Clés de répartition'!C56-'Clés de répartition'!H56)*'Clés de répartition'!D140</f>
        <v>0</v>
      </c>
      <c r="S15" s="21">
        <f>('Clés de répartition'!D56-'Clés de répartition'!I56)*'Clés de répartition'!D140</f>
        <v>0</v>
      </c>
      <c r="T15" s="54">
        <f>(('Clés de répartition'!B56*'Auto - résumé'!D9-'Clés de répartition'!G56*'Auto - fixe'!D9)+('Clés de répartition'!C56*'TC - résumé'!D9-'Clés de répartition'!H56*'TC - fixe'!D9)+('Clés de répartition'!D56*'Vélo - résumé'!D9-'Clés de répartition'!I56*'Vélo - fixe'!D9))*'Clés de répartition'!D140</f>
        <v>0</v>
      </c>
      <c r="U15" s="54">
        <f>(('Clés de répartition'!B56*('Auto - résumé'!B9+'Auto - résumé'!C9)-'Clés de répartition'!G56*('Auto - fixe'!B9+'Auto - fixe'!C9))+('Clés de répartition'!C56*('TC - résumé'!B9+'TC - résumé'!C9)-'Clés de répartition'!H56*('TC - fixe'!B9+'TC - fixe'!C9))+('Clés de répartition'!D56*('Vélo - résumé'!B9+'Vélo - résumé'!C9)-'Clés de répartition'!I56*('Vélo - fixe'!B9+'Vélo - fixe'!C9)))*'Clés de répartition'!D140</f>
        <v>0</v>
      </c>
      <c r="V15" s="54">
        <f t="shared" si="1"/>
        <v>0</v>
      </c>
      <c r="W15" s="54">
        <f>(('Clés de répartition'!B56*('Auto - résumé'!F9)-'Clés de répartition'!G56*('Auto - fixe'!F9)))*'Clés de répartition'!D140</f>
        <v>0</v>
      </c>
      <c r="X15" s="54">
        <f>(('Clés de répartition'!B56*'Auto - résumé'!E9-'Clés de répartition'!G56*'Auto - fixe'!E9)+('Clés de répartition'!C56*'TC - résumé'!E9-'Clés de répartition'!H56*'TC - fixe'!E9)+('Clés de répartition'!D56*'Vélo - résumé'!E9-'Clés de répartition'!I56*'Vélo - fixe'!E9))*'Clés de répartition'!D140</f>
        <v>0</v>
      </c>
      <c r="Y15" s="54">
        <f>(('Clés de répartition'!B56*('Auto - résumé'!F9+'Auto - résumé'!G9+'Auto - résumé'!H9)-'Clés de répartition'!G56*('Auto - fixe'!F9+'Auto - fixe'!G9+'Auto - fixe'!H9))+('Clés de répartition'!C56*('TC - résumé'!F9+'TC - résumé'!G9)-'Clés de répartition'!H56*('TC - fixe'!F9+'TC - fixe'!G9))+('Clés de répartition'!D56*('Vélo - résumé'!F9+'Vélo - résumé'!G9)-'Clés de répartition'!I56*('Vélo - fixe'!F9+'Vélo - fixe'!G9)))*'Clés de répartition'!D140</f>
        <v>0</v>
      </c>
      <c r="Z15" s="54">
        <f t="shared" si="2"/>
        <v>0</v>
      </c>
      <c r="AA15" s="54">
        <f t="shared" si="3"/>
        <v>0</v>
      </c>
      <c r="AC15" t="s">
        <v>765</v>
      </c>
      <c r="AD15" s="143">
        <f>'Résultats finaux - PAR PERSONNE'!D22</f>
        <v>1755.8299855037342</v>
      </c>
      <c r="AE15" s="20">
        <f>'Résultats finaux - PAR PERSONNE'!G22</f>
        <v>1320.1020712655004</v>
      </c>
      <c r="AF15" s="20">
        <f>'Résultats finaux - PAR PERSONNE'!J22</f>
        <v>36.542635960152744</v>
      </c>
      <c r="AG15" s="20">
        <f>'Résultats finaux - PAR PERSONNE'!M22</f>
        <v>34.244270327293606</v>
      </c>
      <c r="AH15" s="20">
        <f>SUM(AD15:AG15)</f>
        <v>3146.7189630566813</v>
      </c>
      <c r="AI15" s="20">
        <f>AH15-AO15</f>
        <v>0</v>
      </c>
      <c r="AJ15" s="54" t="s">
        <v>765</v>
      </c>
      <c r="AK15" s="20">
        <v>1755.8299855037342</v>
      </c>
      <c r="AL15" s="20">
        <v>1320.1020712655004</v>
      </c>
      <c r="AM15" s="20">
        <v>36.542635960152744</v>
      </c>
      <c r="AN15" s="20">
        <v>34.244270327293606</v>
      </c>
      <c r="AO15" s="20">
        <f t="shared" ref="AO15:AO16" si="9">SUM(AK15:AN15)</f>
        <v>3146.7189630566813</v>
      </c>
      <c r="AP15" s="54" t="s">
        <v>765</v>
      </c>
      <c r="AQ15" s="588">
        <f t="shared" si="4"/>
        <v>0</v>
      </c>
      <c r="AR15" s="588">
        <f t="shared" si="5"/>
        <v>0</v>
      </c>
      <c r="AS15" s="588">
        <f t="shared" si="6"/>
        <v>0</v>
      </c>
      <c r="AT15" s="588">
        <f t="shared" si="7"/>
        <v>0</v>
      </c>
      <c r="AW15" s="597" t="s">
        <v>76</v>
      </c>
      <c r="AX15" s="54">
        <f>('Clés de répartition'!B56*'Auto - résumé'!F9)*'Clés de répartition'!D140</f>
        <v>888159.53908146627</v>
      </c>
      <c r="AY15" s="54">
        <f>'Clés de répartition'!G56*'Auto - fixe'!F9*'Clés de répartition'!D140</f>
        <v>888159.53908146627</v>
      </c>
      <c r="AZ15" s="491">
        <f t="shared" si="8"/>
        <v>0</v>
      </c>
    </row>
    <row r="16" spans="1:52">
      <c r="A16" s="597" t="s">
        <v>77</v>
      </c>
      <c r="B16" s="340">
        <v>0.58222374114432396</v>
      </c>
      <c r="C16" s="340">
        <v>0.25149067556299698</v>
      </c>
      <c r="D16" s="340">
        <v>0.154251017925053</v>
      </c>
      <c r="E16" s="340">
        <v>1.20345653676244E-2</v>
      </c>
      <c r="F16" s="484">
        <v>1.1497737586277099</v>
      </c>
      <c r="G16" s="484">
        <v>22.8255623244088</v>
      </c>
      <c r="H16" s="484">
        <v>52.446949592822797</v>
      </c>
      <c r="I16" s="484">
        <v>13.464154209626701</v>
      </c>
      <c r="J16" s="484">
        <v>20.429919062238302</v>
      </c>
      <c r="K16" s="484">
        <v>21.626383240165499</v>
      </c>
      <c r="L16" s="484">
        <v>16.8609984607731</v>
      </c>
      <c r="M16" s="484">
        <v>3.99293133294865</v>
      </c>
      <c r="N16" s="484">
        <v>1.5338891989952601</v>
      </c>
      <c r="O16" s="484">
        <v>36.797147562924401</v>
      </c>
      <c r="P16" s="17">
        <v>7.3105317924792596E-3</v>
      </c>
      <c r="Q16" s="489">
        <f>('Clés de répartition'!B57-'Clés de répartition'!G57)*'Clés de répartition'!D141</f>
        <v>0</v>
      </c>
      <c r="R16" s="21">
        <f>('Clés de répartition'!C57-'Clés de répartition'!H57)*'Clés de répartition'!D141</f>
        <v>0</v>
      </c>
      <c r="S16" s="21">
        <f>('Clés de répartition'!D57-'Clés de répartition'!I57)*'Clés de répartition'!D141</f>
        <v>0</v>
      </c>
      <c r="T16" s="54">
        <f>(('Clés de répartition'!B57*'Auto - résumé'!D10-'Clés de répartition'!G57*'Auto - fixe'!D10)+('Clés de répartition'!C57*'TC - résumé'!D10-'Clés de répartition'!H57*'TC - fixe'!D10)+('Clés de répartition'!D57*'Vélo - résumé'!D10-'Clés de répartition'!I57*'Vélo - fixe'!D10))*'Clés de répartition'!D141</f>
        <v>0</v>
      </c>
      <c r="U16" s="54">
        <f>(('Clés de répartition'!B57*('Auto - résumé'!B10+'Auto - résumé'!C10)-'Clés de répartition'!G57*('Auto - fixe'!B10+'Auto - fixe'!C10))+('Clés de répartition'!C57*('TC - résumé'!B10+'TC - résumé'!C10)-'Clés de répartition'!H57*('TC - fixe'!B10+'TC - fixe'!C10))+('Clés de répartition'!D57*('Vélo - résumé'!B10+'Vélo - résumé'!C10)-'Clés de répartition'!I57*('Vélo - fixe'!B10+'Vélo - fixe'!C10)))*'Clés de répartition'!D141</f>
        <v>0</v>
      </c>
      <c r="V16" s="54">
        <f t="shared" si="1"/>
        <v>0</v>
      </c>
      <c r="W16" s="54">
        <f>(('Clés de répartition'!B57*('Auto - résumé'!F10)-'Clés de répartition'!G57*('Auto - fixe'!F10)))*'Clés de répartition'!D141</f>
        <v>0</v>
      </c>
      <c r="X16" s="54">
        <f>(('Clés de répartition'!B57*'Auto - résumé'!E10-'Clés de répartition'!G57*'Auto - fixe'!E10)+('Clés de répartition'!C57*'TC - résumé'!E10-'Clés de répartition'!H57*'TC - fixe'!E10)+('Clés de répartition'!D57*'Vélo - résumé'!E10-'Clés de répartition'!I57*'Vélo - fixe'!E10))*'Clés de répartition'!D141</f>
        <v>0</v>
      </c>
      <c r="Y16" s="54">
        <f>(('Clés de répartition'!B57*('Auto - résumé'!F10+'Auto - résumé'!G10+'Auto - résumé'!H10)-'Clés de répartition'!G57*('Auto - fixe'!F10+'Auto - fixe'!G10+'Auto - fixe'!H10))+('Clés de répartition'!C57*('TC - résumé'!F10+'TC - résumé'!G10)-'Clés de répartition'!H57*('TC - fixe'!F10+'TC - fixe'!G10))+('Clés de répartition'!D57*('Vélo - résumé'!F10+'Vélo - résumé'!G10)-'Clés de répartition'!I57*('Vélo - fixe'!F10+'Vélo - fixe'!G10)))*'Clés de répartition'!D141</f>
        <v>0</v>
      </c>
      <c r="Z16" s="54">
        <f t="shared" si="2"/>
        <v>0</v>
      </c>
      <c r="AA16" s="54">
        <f t="shared" si="3"/>
        <v>0</v>
      </c>
      <c r="AC16" t="s">
        <v>766</v>
      </c>
      <c r="AD16" s="143">
        <f>'Résultats finaux - PAR PERSONNE'!E22</f>
        <v>3955.0333560716908</v>
      </c>
      <c r="AE16" s="20">
        <f>'Résultats finaux - PAR PERSONNE'!H22</f>
        <v>-49.017915557912353</v>
      </c>
      <c r="AF16" s="20">
        <f>'Résultats finaux - PAR PERSONNE'!K22</f>
        <v>-52.238672710174598</v>
      </c>
      <c r="AG16" s="20">
        <f>'Résultats finaux - PAR PERSONNE'!N22</f>
        <v>-38.772594130008613</v>
      </c>
      <c r="AH16" s="20">
        <f>SUM(AD16:AG16)</f>
        <v>3815.0041736735952</v>
      </c>
      <c r="AI16" s="20">
        <f>AH16-AO16</f>
        <v>0</v>
      </c>
      <c r="AJ16" t="s">
        <v>766</v>
      </c>
      <c r="AK16" s="20">
        <v>3955.0333560716908</v>
      </c>
      <c r="AL16" s="20">
        <v>-49.017915557912353</v>
      </c>
      <c r="AM16" s="20">
        <v>-52.238672710174598</v>
      </c>
      <c r="AN16" s="20">
        <v>-38.772594130008613</v>
      </c>
      <c r="AO16" s="20">
        <f t="shared" si="9"/>
        <v>3815.0041736735952</v>
      </c>
      <c r="AP16" t="s">
        <v>766</v>
      </c>
      <c r="AQ16" s="588">
        <f t="shared" si="4"/>
        <v>0</v>
      </c>
      <c r="AR16" s="588">
        <f t="shared" si="5"/>
        <v>0</v>
      </c>
      <c r="AS16" s="588">
        <f t="shared" si="6"/>
        <v>0</v>
      </c>
      <c r="AT16" s="588">
        <f t="shared" si="7"/>
        <v>0</v>
      </c>
      <c r="AW16" s="597" t="s">
        <v>77</v>
      </c>
      <c r="AX16" s="54">
        <f>('Clés de répartition'!B57*'Auto - résumé'!F10)*'Clés de répartition'!D141</f>
        <v>7695646.2307575019</v>
      </c>
      <c r="AY16" s="54">
        <f>'Clés de répartition'!G57*'Auto - fixe'!F10*'Clés de répartition'!D141</f>
        <v>7695646.2307575019</v>
      </c>
      <c r="AZ16" s="491">
        <f t="shared" si="8"/>
        <v>0</v>
      </c>
    </row>
    <row r="17" spans="1:52">
      <c r="A17" s="597" t="s">
        <v>79</v>
      </c>
      <c r="B17" s="340" cm="1">
        <f t="array" ref="B17">SUM(B26:B44*'Clés de répartition'!$D$151:$D$169)/'Clés de répartition'!$D$142</f>
        <v>0.22877320595607142</v>
      </c>
      <c r="C17" s="340" cm="1">
        <f t="array" ref="C17">SUM(C26:C44*'Clés de répartition'!$D$151:$D$169)/'Clés de répartition'!$D$142</f>
        <v>0.40756941991237139</v>
      </c>
      <c r="D17" s="340" cm="1">
        <f t="array" ref="D17">SUM(D26:D44*'Clés de répartition'!$D$151:$D$169)/'Clés de répartition'!$D$142</f>
        <v>0.23413872551762266</v>
      </c>
      <c r="E17" s="340" cm="1">
        <f t="array" ref="E17">SUM(E26:E44*'Clés de répartition'!$D$151:$D$169)/'Clés de répartition'!$D$142</f>
        <v>0.12951864861393486</v>
      </c>
      <c r="F17" s="484" cm="1">
        <f t="array" ref="F17">SUM(F26:F44*'Clés de répartition'!$D$151:$D$169)/'Clés de répartition'!$D$142</f>
        <v>1.0499434560387981</v>
      </c>
      <c r="G17" s="484" cm="1">
        <f t="array" ref="G17">SUM(G26:G44*'Clés de répartition'!$D$151:$D$169)/'Clés de répartition'!$D$142</f>
        <v>25.28392602589529</v>
      </c>
      <c r="H17" s="484" cm="1">
        <f t="array" ref="H17">SUM(H26:H44*'Clés de répartition'!$D$151:$D$169)/'Clés de répartition'!$D$142</f>
        <v>37.919876440455603</v>
      </c>
      <c r="I17" s="484" cm="1">
        <f t="array" ref="I17">SUM(I26:I44*'Clés de répartition'!$D$151:$D$169)/'Clés de répartition'!$D$142</f>
        <v>16.60258947006885</v>
      </c>
      <c r="J17" s="484" cm="1">
        <f t="array" ref="J17">SUM(J26:J44*'Clés de répartition'!$D$151:$D$169)/'Clés de répartition'!$D$142</f>
        <v>15.261941214031411</v>
      </c>
      <c r="K17" s="484" cm="1">
        <f t="array" ref="K17">SUM(K26:K44*'Clés de répartition'!$D$151:$D$169)/'Clés de répartition'!$D$142</f>
        <v>19.130265810102085</v>
      </c>
      <c r="L17" s="484" cm="1">
        <f t="array" ref="L17">SUM(L26:L44*'Clés de répartition'!$D$151:$D$169)/'Clés de répartition'!$D$142</f>
        <v>9.6123591100015773</v>
      </c>
      <c r="M17" s="484" cm="1">
        <f t="array" ref="M17">SUM(M26:M44*'Clés de répartition'!$D$151:$D$169)/'Clés de répartition'!$D$142</f>
        <v>4.3534176993324021</v>
      </c>
      <c r="N17" s="484" cm="1">
        <f t="array" ref="N17">SUM(N26:N44*'Clés de répartition'!$D$151:$D$169)/'Clés de répartition'!$D$142</f>
        <v>1.0907467051621478</v>
      </c>
      <c r="O17" s="484" cm="1">
        <f t="array" ref="O17">SUM(O26:O44*'Clés de répartition'!$D$151:$D$169)/'Clés de répartition'!$D$142</f>
        <v>43.742117369879793</v>
      </c>
      <c r="P17" s="17">
        <f>SUM(P26:P44)</f>
        <v>0.83048969127067673</v>
      </c>
      <c r="Q17" s="489">
        <f>('Clés de répartition'!B58-'Clés de répartition'!G58)*'Clés de répartition'!D142</f>
        <v>0</v>
      </c>
      <c r="R17" s="21">
        <f>('Clés de répartition'!C58-'Clés de répartition'!H58)*'Clés de répartition'!D142</f>
        <v>0</v>
      </c>
      <c r="S17" s="21">
        <f>('Clés de répartition'!D58-'Clés de répartition'!I58)*'Clés de répartition'!D142</f>
        <v>0</v>
      </c>
      <c r="T17" s="54">
        <f t="shared" ref="T17:Y17" si="10">SUM(T26:T44)</f>
        <v>0</v>
      </c>
      <c r="U17" s="54">
        <f t="shared" si="10"/>
        <v>0</v>
      </c>
      <c r="V17" s="54">
        <f t="shared" si="1"/>
        <v>0</v>
      </c>
      <c r="W17" s="54">
        <f t="shared" si="10"/>
        <v>0</v>
      </c>
      <c r="X17" s="54">
        <f t="shared" si="10"/>
        <v>0</v>
      </c>
      <c r="Y17" s="54">
        <f t="shared" si="10"/>
        <v>0</v>
      </c>
      <c r="Z17" s="54">
        <f t="shared" si="2"/>
        <v>0</v>
      </c>
      <c r="AA17" s="54">
        <f t="shared" si="3"/>
        <v>0</v>
      </c>
      <c r="AC17" t="s">
        <v>466</v>
      </c>
      <c r="AD17" s="143">
        <f>SUM(AD14:AD16)</f>
        <v>9392.7768257505522</v>
      </c>
      <c r="AE17" s="143">
        <f t="shared" ref="AE17:AG17" si="11">SUM(AE14:AE16)</f>
        <v>3861.9810981588898</v>
      </c>
      <c r="AF17" s="143">
        <f t="shared" si="11"/>
        <v>113.07176911501304</v>
      </c>
      <c r="AG17" s="143">
        <f t="shared" si="11"/>
        <v>334.52971276866134</v>
      </c>
      <c r="AH17" s="20">
        <f>SUM(AD17:AG17)</f>
        <v>13702.359405793115</v>
      </c>
      <c r="AI17" s="20">
        <f>AH17-AO17</f>
        <v>0</v>
      </c>
      <c r="AJ17" t="s">
        <v>776</v>
      </c>
      <c r="AK17" s="20">
        <v>9392.7768257505522</v>
      </c>
      <c r="AL17" s="20">
        <v>3861.9810981588898</v>
      </c>
      <c r="AM17" s="20">
        <v>113.07176911501304</v>
      </c>
      <c r="AN17" s="20">
        <v>334.52971276866134</v>
      </c>
      <c r="AO17" s="20">
        <f>SUM(AK17:AN17)</f>
        <v>13702.359405793115</v>
      </c>
      <c r="AP17" t="s">
        <v>776</v>
      </c>
      <c r="AQ17" s="588">
        <f t="shared" si="4"/>
        <v>0</v>
      </c>
      <c r="AR17" s="588">
        <f t="shared" si="5"/>
        <v>0</v>
      </c>
      <c r="AS17" s="588">
        <f t="shared" si="6"/>
        <v>0</v>
      </c>
      <c r="AT17" s="588">
        <f t="shared" si="7"/>
        <v>0</v>
      </c>
      <c r="AW17" s="597" t="s">
        <v>79</v>
      </c>
      <c r="AX17" s="54">
        <f t="shared" ref="AX17:AY17" si="12">SUM(AX26:AX44)</f>
        <v>355626850.168037</v>
      </c>
      <c r="AY17" s="54">
        <f t="shared" si="12"/>
        <v>355626850.168037</v>
      </c>
      <c r="AZ17" s="491">
        <f t="shared" si="8"/>
        <v>0</v>
      </c>
    </row>
    <row r="18" spans="1:52">
      <c r="A18" s="597" t="s">
        <v>80</v>
      </c>
      <c r="B18" s="340">
        <v>0.42100520176584799</v>
      </c>
      <c r="C18" s="340">
        <v>0.32637005593650797</v>
      </c>
      <c r="D18" s="340">
        <v>0.17163378014410199</v>
      </c>
      <c r="E18" s="340">
        <v>8.0990962153542997E-2</v>
      </c>
      <c r="F18" s="484">
        <v>1.06945074692569</v>
      </c>
      <c r="G18" s="484">
        <v>26.177649208893499</v>
      </c>
      <c r="H18" s="484">
        <v>47.191660266609503</v>
      </c>
      <c r="I18" s="484">
        <v>11.6758426911002</v>
      </c>
      <c r="J18" s="484">
        <v>12.8839126127535</v>
      </c>
      <c r="K18" s="484">
        <v>18.662073026145499</v>
      </c>
      <c r="L18" s="484">
        <v>14.4168039180609</v>
      </c>
      <c r="M18" s="484">
        <v>3.2003946500802098</v>
      </c>
      <c r="N18" s="484">
        <v>0.94787110902549698</v>
      </c>
      <c r="O18" s="484">
        <v>45.209032476794398</v>
      </c>
      <c r="P18" s="17">
        <v>8.1526971486426195E-3</v>
      </c>
      <c r="Q18" s="489">
        <f>('Clés de répartition'!B59-'Clés de répartition'!G59)*'Clés de répartition'!D143</f>
        <v>0</v>
      </c>
      <c r="R18" s="21">
        <f>('Clés de répartition'!C59-'Clés de répartition'!H59)*'Clés de répartition'!D143</f>
        <v>0</v>
      </c>
      <c r="S18" s="21">
        <f>('Clés de répartition'!D59-'Clés de répartition'!I59)*'Clés de répartition'!D143</f>
        <v>0</v>
      </c>
      <c r="T18" s="54">
        <f>(('Clés de répartition'!B59*'Auto - résumé'!D12-'Clés de répartition'!G59*'Auto - fixe'!D12)+('Clés de répartition'!C59*'TC - résumé'!D12-'Clés de répartition'!H59*'TC - fixe'!D12)+('Clés de répartition'!D59*'Vélo - résumé'!D12-'Clés de répartition'!I59*'Vélo - fixe'!D12))*'Clés de répartition'!D143</f>
        <v>0</v>
      </c>
      <c r="U18" s="54">
        <f>(('Clés de répartition'!B59*('Auto - résumé'!B12+'Auto - résumé'!C12)-'Clés de répartition'!G59*('Auto - fixe'!B12+'Auto - fixe'!C12))+('Clés de répartition'!C59*('TC - résumé'!B12+'TC - résumé'!C12)-'Clés de répartition'!H59*('TC - fixe'!B12+'TC - fixe'!C12))+('Clés de répartition'!D59*('Vélo - résumé'!B12+'Vélo - résumé'!C12)-'Clés de répartition'!I59*('Vélo - fixe'!B12+'Vélo - fixe'!C12)))*'Clés de répartition'!D143</f>
        <v>0</v>
      </c>
      <c r="V18" s="54">
        <f t="shared" si="1"/>
        <v>0</v>
      </c>
      <c r="W18" s="54">
        <f>(('Clés de répartition'!B59*('Auto - résumé'!F12)-'Clés de répartition'!G59*('Auto - fixe'!F12)))*'Clés de répartition'!D143</f>
        <v>0</v>
      </c>
      <c r="X18" s="54">
        <f>(('Clés de répartition'!B59*'Auto - résumé'!E12-'Clés de répartition'!G59*'Auto - fixe'!E12)+('Clés de répartition'!C59*'TC - résumé'!E12-'Clés de répartition'!H59*'TC - fixe'!E12)+('Clés de répartition'!D59*'Vélo - résumé'!E12-'Clés de répartition'!I59*'Vélo - fixe'!E12))*'Clés de répartition'!D143</f>
        <v>0</v>
      </c>
      <c r="Y18" s="54">
        <f>(('Clés de répartition'!B59*('Auto - résumé'!F12+'Auto - résumé'!G12+'Auto - résumé'!H12)-'Clés de répartition'!G59*('Auto - fixe'!F12+'Auto - fixe'!G12+'Auto - fixe'!H12))+('Clés de répartition'!C59*('TC - résumé'!F12+'TC - résumé'!G12)-'Clés de répartition'!H59*('TC - fixe'!F12+'TC - fixe'!G12))+('Clés de répartition'!D59*('Vélo - résumé'!F12+'Vélo - résumé'!G12)-'Clés de répartition'!I59*('Vélo - fixe'!F12+'Vélo - fixe'!G12)))*'Clés de répartition'!D143</f>
        <v>0</v>
      </c>
      <c r="Z18" s="54">
        <f t="shared" si="2"/>
        <v>0</v>
      </c>
      <c r="AA18" s="54">
        <f t="shared" si="3"/>
        <v>0</v>
      </c>
      <c r="AC18" s="159" t="s">
        <v>771</v>
      </c>
      <c r="AD18" s="16">
        <f t="shared" ref="AD18:AG21" si="13">AD14/$AH$17</f>
        <v>0.26870653258580268</v>
      </c>
      <c r="AE18" s="16">
        <f t="shared" si="13"/>
        <v>0.18908400120901195</v>
      </c>
      <c r="AF18" s="16">
        <f t="shared" si="13"/>
        <v>9.3974914868014733E-3</v>
      </c>
      <c r="AG18" s="16">
        <f t="shared" si="13"/>
        <v>2.4744500310510658E-2</v>
      </c>
      <c r="AH18" s="427"/>
      <c r="AI18" s="20"/>
      <c r="AJ18" s="159" t="s">
        <v>771</v>
      </c>
      <c r="AK18" s="16">
        <v>0.26870653258580268</v>
      </c>
      <c r="AL18" s="16">
        <v>0.18908400120901195</v>
      </c>
      <c r="AM18" s="16">
        <v>9.3974914868014733E-3</v>
      </c>
      <c r="AN18" s="16">
        <v>2.4744500310510658E-2</v>
      </c>
      <c r="AP18" s="159" t="s">
        <v>771</v>
      </c>
      <c r="AQ18" s="16">
        <f t="shared" ref="AQ18:AT21" si="14">AD18-AK18</f>
        <v>0</v>
      </c>
      <c r="AR18" s="16">
        <f t="shared" si="14"/>
        <v>0</v>
      </c>
      <c r="AS18" s="16">
        <f t="shared" si="14"/>
        <v>0</v>
      </c>
      <c r="AT18" s="16">
        <f t="shared" si="14"/>
        <v>0</v>
      </c>
      <c r="AW18" s="597" t="s">
        <v>80</v>
      </c>
      <c r="AX18" s="54">
        <f>('Clés de répartition'!B59*'Auto - résumé'!F12)*'Clés de répartition'!D143</f>
        <v>1449327.2310551233</v>
      </c>
      <c r="AY18" s="54">
        <f>'Clés de répartition'!G59*'Auto - fixe'!F12*'Clés de répartition'!D143</f>
        <v>1449327.2310551233</v>
      </c>
      <c r="AZ18" s="491">
        <f t="shared" si="8"/>
        <v>0</v>
      </c>
    </row>
    <row r="19" spans="1:52">
      <c r="A19" s="597" t="s">
        <v>81</v>
      </c>
      <c r="B19" s="340">
        <v>0.24909066914248501</v>
      </c>
      <c r="C19" s="340">
        <v>0.436244967134433</v>
      </c>
      <c r="D19" s="340">
        <v>0.26373720511864701</v>
      </c>
      <c r="E19" s="340">
        <v>5.0927158604434697E-2</v>
      </c>
      <c r="F19" s="484">
        <v>1.0810126195184599</v>
      </c>
      <c r="G19" s="484">
        <v>24.991261793000898</v>
      </c>
      <c r="H19" s="484">
        <v>39.085506415665797</v>
      </c>
      <c r="I19" s="484">
        <v>22.186205897586699</v>
      </c>
      <c r="J19" s="484">
        <v>15.8323695217312</v>
      </c>
      <c r="K19" s="484">
        <v>19.354964911465402</v>
      </c>
      <c r="L19" s="484">
        <v>8.4276389323794305</v>
      </c>
      <c r="M19" s="484">
        <v>5.7048362317950003</v>
      </c>
      <c r="N19" s="484">
        <v>1.1408710674668101</v>
      </c>
      <c r="O19" s="484">
        <v>40.958000650648302</v>
      </c>
      <c r="P19" s="17">
        <v>4.2868172448855798E-3</v>
      </c>
      <c r="Q19" s="489">
        <f>('Clés de répartition'!B60-'Clés de répartition'!G60)*'Clés de répartition'!D144</f>
        <v>0</v>
      </c>
      <c r="R19" s="21">
        <f>('Clés de répartition'!C60-'Clés de répartition'!H60)*'Clés de répartition'!D144</f>
        <v>0</v>
      </c>
      <c r="S19" s="21">
        <f>('Clés de répartition'!D60-'Clés de répartition'!I60)*'Clés de répartition'!D144</f>
        <v>0</v>
      </c>
      <c r="T19" s="54">
        <f>(('Clés de répartition'!B60*'Auto - résumé'!D13-'Clés de répartition'!G60*'Auto - fixe'!D13)+('Clés de répartition'!C60*'TC - résumé'!D13-'Clés de répartition'!H60*'TC - fixe'!D13)+('Clés de répartition'!D60*'Vélo - résumé'!D13-'Clés de répartition'!I60*'Vélo - fixe'!D13))*'Clés de répartition'!D144</f>
        <v>0</v>
      </c>
      <c r="U19" s="54">
        <f>(('Clés de répartition'!B60*('Auto - résumé'!B13+'Auto - résumé'!C13)-'Clés de répartition'!G60*('Auto - fixe'!B13+'Auto - fixe'!C13))+('Clés de répartition'!C60*('TC - résumé'!B13+'TC - résumé'!C13)-'Clés de répartition'!H60*('TC - fixe'!B13+'TC - fixe'!C13))+('Clés de répartition'!D60*('Vélo - résumé'!B13+'Vélo - résumé'!C13)-'Clés de répartition'!I60*('Vélo - fixe'!B13+'Vélo - fixe'!C13)))*'Clés de répartition'!D144</f>
        <v>0</v>
      </c>
      <c r="V19" s="54">
        <f t="shared" si="1"/>
        <v>0</v>
      </c>
      <c r="W19" s="54">
        <f>(('Clés de répartition'!B60*('Auto - résumé'!F13)-'Clés de répartition'!G60*('Auto - fixe'!F13)))*'Clés de répartition'!D144</f>
        <v>0</v>
      </c>
      <c r="X19" s="54">
        <f>(('Clés de répartition'!B60*'Auto - résumé'!E13-'Clés de répartition'!G60*'Auto - fixe'!E13)+('Clés de répartition'!C60*'TC - résumé'!E13-'Clés de répartition'!H60*'TC - fixe'!E13)+('Clés de répartition'!D60*'Vélo - résumé'!E13-'Clés de répartition'!I60*'Vélo - fixe'!E13))*'Clés de répartition'!D144</f>
        <v>0</v>
      </c>
      <c r="Y19" s="54">
        <f>(('Clés de répartition'!B60*('Auto - résumé'!F13+'Auto - résumé'!G13+'Auto - résumé'!H13)-'Clés de répartition'!G60*('Auto - fixe'!F13+'Auto - fixe'!G13+'Auto - fixe'!H13))+('Clés de répartition'!C60*('TC - résumé'!F13+'TC - résumé'!G13)-'Clés de répartition'!H60*('TC - fixe'!F13+'TC - fixe'!G13))+('Clés de répartition'!D60*('Vélo - résumé'!F13+'Vélo - résumé'!G13)-'Clés de répartition'!I60*('Vélo - fixe'!F13+'Vélo - fixe'!G13)))*'Clés de répartition'!D144</f>
        <v>0</v>
      </c>
      <c r="Z19" s="54">
        <f t="shared" si="2"/>
        <v>0</v>
      </c>
      <c r="AA19" s="54">
        <f t="shared" si="3"/>
        <v>0</v>
      </c>
      <c r="AC19" s="54" t="s">
        <v>772</v>
      </c>
      <c r="AD19" s="16">
        <f t="shared" si="13"/>
        <v>0.12814070434916489</v>
      </c>
      <c r="AE19" s="16">
        <f t="shared" si="13"/>
        <v>9.6341223593024758E-2</v>
      </c>
      <c r="AF19" s="16">
        <f t="shared" si="13"/>
        <v>2.6668864009437064E-3</v>
      </c>
      <c r="AG19" s="16">
        <f t="shared" si="13"/>
        <v>2.4991513733624397E-3</v>
      </c>
      <c r="AH19" s="427"/>
      <c r="AJ19" s="54" t="s">
        <v>772</v>
      </c>
      <c r="AK19" s="16">
        <v>0.12814070434916489</v>
      </c>
      <c r="AL19" s="16">
        <v>9.6341223593024758E-2</v>
      </c>
      <c r="AM19" s="16">
        <v>2.6668864009437064E-3</v>
      </c>
      <c r="AN19" s="16">
        <v>2.4991513733624397E-3</v>
      </c>
      <c r="AP19" s="54" t="s">
        <v>772</v>
      </c>
      <c r="AQ19" s="16">
        <f t="shared" si="14"/>
        <v>0</v>
      </c>
      <c r="AR19" s="16">
        <f t="shared" si="14"/>
        <v>0</v>
      </c>
      <c r="AS19" s="16">
        <f t="shared" si="14"/>
        <v>0</v>
      </c>
      <c r="AT19" s="16">
        <f t="shared" si="14"/>
        <v>0</v>
      </c>
      <c r="AW19" s="597" t="s">
        <v>81</v>
      </c>
      <c r="AX19" s="54">
        <f>('Clés de répartition'!B60*'Auto - résumé'!F13)*'Clés de répartition'!D144</f>
        <v>1045306.9523406932</v>
      </c>
      <c r="AY19" s="54">
        <f>'Clés de répartition'!G60*'Auto - fixe'!F13*'Clés de répartition'!D144</f>
        <v>1045306.9523406932</v>
      </c>
      <c r="AZ19" s="491">
        <f t="shared" si="8"/>
        <v>0</v>
      </c>
    </row>
    <row r="20" spans="1:52">
      <c r="A20" s="597" t="s">
        <v>78</v>
      </c>
      <c r="B20" s="340">
        <v>0.25645927928201601</v>
      </c>
      <c r="C20" s="340">
        <v>0.39961833027086502</v>
      </c>
      <c r="D20" s="340">
        <v>0.26721234301681102</v>
      </c>
      <c r="E20" s="340">
        <v>7.6710047430309999E-2</v>
      </c>
      <c r="F20" s="484">
        <v>1.04359763125969</v>
      </c>
      <c r="G20" s="484">
        <v>18.9482254763216</v>
      </c>
      <c r="H20" s="484">
        <v>38.108423551738703</v>
      </c>
      <c r="I20" s="484">
        <v>17.914085995840001</v>
      </c>
      <c r="J20" s="484">
        <v>20.7625010723029</v>
      </c>
      <c r="K20" s="484">
        <v>15.574323142725699</v>
      </c>
      <c r="L20" s="484">
        <v>8.8154268284483095</v>
      </c>
      <c r="M20" s="484">
        <v>4.4660119798592897</v>
      </c>
      <c r="N20" s="484">
        <v>1.4629062378334901</v>
      </c>
      <c r="O20" s="484">
        <v>28.0807193625492</v>
      </c>
      <c r="P20" s="17">
        <v>2.0015140788529399E-2</v>
      </c>
      <c r="Q20" s="489">
        <f>('Clés de répartition'!B61-'Clés de répartition'!G61)*'Clés de répartition'!D145</f>
        <v>0</v>
      </c>
      <c r="R20" s="21">
        <f>('Clés de répartition'!C61-'Clés de répartition'!H61)*'Clés de répartition'!D145</f>
        <v>0</v>
      </c>
      <c r="S20" s="21">
        <f>('Clés de répartition'!D61-'Clés de répartition'!I61)*'Clés de répartition'!D145</f>
        <v>0</v>
      </c>
      <c r="T20" s="54">
        <f>(('Clés de répartition'!B61*'Auto - résumé'!D14-'Clés de répartition'!G61*'Auto - fixe'!D14)+('Clés de répartition'!C61*'TC - résumé'!D14-'Clés de répartition'!H61*'TC - fixe'!D14)+('Clés de répartition'!D61*'Vélo - résumé'!D14-'Clés de répartition'!I61*'Vélo - fixe'!D14))*'Clés de répartition'!D145</f>
        <v>0</v>
      </c>
      <c r="U20" s="54">
        <f>(('Clés de répartition'!B61*('Auto - résumé'!B14+'Auto - résumé'!C14)-'Clés de répartition'!G61*('Auto - fixe'!B14+'Auto - fixe'!C14))+('Clés de répartition'!C61*('TC - résumé'!B14+'TC - résumé'!C14)-'Clés de répartition'!H61*('TC - fixe'!B14+'TC - fixe'!C14))+('Clés de répartition'!D61*('Vélo - résumé'!B14+'Vélo - résumé'!C14)-'Clés de répartition'!I61*('Vélo - fixe'!B14+'Vélo - fixe'!C14)))*'Clés de répartition'!D145</f>
        <v>0</v>
      </c>
      <c r="V20" s="54">
        <f t="shared" si="1"/>
        <v>0</v>
      </c>
      <c r="W20" s="54">
        <f>(('Clés de répartition'!B61*('Auto - résumé'!F14)-'Clés de répartition'!G61*('Auto - fixe'!F14)))*'Clés de répartition'!D145</f>
        <v>0</v>
      </c>
      <c r="X20" s="54">
        <f>(('Clés de répartition'!B61*'Auto - résumé'!E14-'Clés de répartition'!G61*'Auto - fixe'!E14)+('Clés de répartition'!C61*'TC - résumé'!E14-'Clés de répartition'!H61*'TC - fixe'!E14)+('Clés de répartition'!D61*'Vélo - résumé'!E14-'Clés de répartition'!I61*'Vélo - fixe'!E14))*'Clés de répartition'!D145</f>
        <v>0</v>
      </c>
      <c r="Y20" s="54">
        <f>(('Clés de répartition'!B61*('Auto - résumé'!F14+'Auto - résumé'!G14+'Auto - résumé'!H14)-'Clés de répartition'!G61*('Auto - fixe'!F14+'Auto - fixe'!G14+'Auto - fixe'!H14))+('Clés de répartition'!C61*('TC - résumé'!F14+'TC - résumé'!G14)-'Clés de répartition'!H61*('TC - fixe'!F14+'TC - fixe'!G14))+('Clés de répartition'!D61*('Vélo - résumé'!F14+'Vélo - résumé'!G14)-'Clés de répartition'!I61*('Vélo - fixe'!F14+'Vélo - fixe'!G14)))*'Clés de répartition'!D145</f>
        <v>0</v>
      </c>
      <c r="Z20" s="54">
        <f t="shared" si="2"/>
        <v>0</v>
      </c>
      <c r="AA20" s="54">
        <f t="shared" si="3"/>
        <v>0</v>
      </c>
      <c r="AC20" t="s">
        <v>773</v>
      </c>
      <c r="AD20" s="16">
        <f t="shared" si="13"/>
        <v>0.28863885692558705</v>
      </c>
      <c r="AE20" s="16">
        <f t="shared" si="13"/>
        <v>-3.5773339544128762E-3</v>
      </c>
      <c r="AF20" s="16">
        <f t="shared" si="13"/>
        <v>-3.8123852369606514E-3</v>
      </c>
      <c r="AG20" s="16">
        <f t="shared" si="13"/>
        <v>-2.8296290428359546E-3</v>
      </c>
      <c r="AH20" s="427"/>
      <c r="AJ20" t="s">
        <v>773</v>
      </c>
      <c r="AK20" s="16">
        <v>0.28863885692558705</v>
      </c>
      <c r="AL20" s="16">
        <v>-3.5773339544128762E-3</v>
      </c>
      <c r="AM20" s="16">
        <v>-3.8123852369606514E-3</v>
      </c>
      <c r="AN20" s="16">
        <v>-2.8296290428359546E-3</v>
      </c>
      <c r="AP20" t="s">
        <v>773</v>
      </c>
      <c r="AQ20" s="16">
        <f t="shared" si="14"/>
        <v>0</v>
      </c>
      <c r="AR20" s="16">
        <f t="shared" si="14"/>
        <v>0</v>
      </c>
      <c r="AS20" s="16">
        <f t="shared" si="14"/>
        <v>0</v>
      </c>
      <c r="AT20" s="16">
        <f t="shared" si="14"/>
        <v>0</v>
      </c>
      <c r="AW20" s="597" t="s">
        <v>78</v>
      </c>
      <c r="AX20" s="54">
        <f>('Clés de répartition'!B61*'Auto - résumé'!F14)*'Clés de répartition'!D145</f>
        <v>3337999.0328546963</v>
      </c>
      <c r="AY20" s="54">
        <f>'Clés de répartition'!G61*'Auto - fixe'!F14*'Clés de répartition'!D145</f>
        <v>3337999.0328546963</v>
      </c>
      <c r="AZ20" s="491">
        <f t="shared" si="8"/>
        <v>0</v>
      </c>
    </row>
    <row r="21" spans="1:52">
      <c r="A21" s="597" t="s">
        <v>82</v>
      </c>
      <c r="B21" s="340">
        <v>0.42944681287189401</v>
      </c>
      <c r="C21" s="340">
        <v>0.20906611690242499</v>
      </c>
      <c r="D21" s="340">
        <v>0.29357134550987501</v>
      </c>
      <c r="E21" s="340">
        <v>6.7915724715805106E-2</v>
      </c>
      <c r="F21" s="484">
        <v>1.0725511327972299</v>
      </c>
      <c r="G21" s="484">
        <v>19.888465480736301</v>
      </c>
      <c r="H21" s="484">
        <v>46.672076969294999</v>
      </c>
      <c r="I21" s="484">
        <v>12.13400380891</v>
      </c>
      <c r="J21" s="484">
        <v>15.908136396614299</v>
      </c>
      <c r="K21" s="484">
        <v>18.383804523424899</v>
      </c>
      <c r="L21" s="484">
        <v>16.426615445514301</v>
      </c>
      <c r="M21" s="484">
        <v>3.6623354302479401</v>
      </c>
      <c r="N21" s="484">
        <v>1.1778853688029001</v>
      </c>
      <c r="O21" s="484">
        <v>31.5901660486122</v>
      </c>
      <c r="P21" s="17">
        <v>1.7338864608620701E-2</v>
      </c>
      <c r="Q21" s="489">
        <f>('Clés de répartition'!B62-'Clés de répartition'!G62)*'Clés de répartition'!D146</f>
        <v>0</v>
      </c>
      <c r="R21" s="21">
        <f>('Clés de répartition'!C62-'Clés de répartition'!H62)*'Clés de répartition'!D146</f>
        <v>0</v>
      </c>
      <c r="S21" s="21">
        <f>('Clés de répartition'!D62-'Clés de répartition'!I62)*'Clés de répartition'!D146</f>
        <v>0</v>
      </c>
      <c r="T21" s="54">
        <f>(('Clés de répartition'!B62*'Auto - résumé'!D15-'Clés de répartition'!G62*'Auto - fixe'!D15)+('Clés de répartition'!C62*'TC - résumé'!D15-'Clés de répartition'!H62*'TC - fixe'!D15)+('Clés de répartition'!D62*'Vélo - résumé'!D15-'Clés de répartition'!I62*'Vélo - fixe'!D15))*'Clés de répartition'!D146</f>
        <v>0</v>
      </c>
      <c r="U21" s="54">
        <f>(('Clés de répartition'!B62*('Auto - résumé'!B15+'Auto - résumé'!C15)-'Clés de répartition'!G62*('Auto - fixe'!B15+'Auto - fixe'!C15))+('Clés de répartition'!C62*('TC - résumé'!B15+'TC - résumé'!C15)-'Clés de répartition'!H62*('TC - fixe'!B15+'TC - fixe'!C15))+('Clés de répartition'!D62*('Vélo - résumé'!B15+'Vélo - résumé'!C15)-'Clés de répartition'!I62*('Vélo - fixe'!B15+'Vélo - fixe'!C15)))*'Clés de répartition'!D146</f>
        <v>0</v>
      </c>
      <c r="V21" s="54">
        <f t="shared" si="1"/>
        <v>0</v>
      </c>
      <c r="W21" s="54">
        <f>(('Clés de répartition'!B62*('Auto - résumé'!F15)-'Clés de répartition'!G62*('Auto - fixe'!F15)))*'Clés de répartition'!D146</f>
        <v>0</v>
      </c>
      <c r="X21" s="54">
        <f>(('Clés de répartition'!B62*'Auto - résumé'!E15-'Clés de répartition'!G62*'Auto - fixe'!E15)+('Clés de répartition'!C62*'TC - résumé'!E15-'Clés de répartition'!H62*'TC - fixe'!E15)+('Clés de répartition'!D62*'Vélo - résumé'!E15-'Clés de répartition'!I62*'Vélo - fixe'!E15))*'Clés de répartition'!D146</f>
        <v>0</v>
      </c>
      <c r="Y21" s="54">
        <f>(('Clés de répartition'!B62*('Auto - résumé'!F15+'Auto - résumé'!G15+'Auto - résumé'!H15)-'Clés de répartition'!G62*('Auto - fixe'!F15+'Auto - fixe'!G15+'Auto - fixe'!H15))+('Clés de répartition'!C62*('TC - résumé'!F15+'TC - résumé'!G15)-'Clés de répartition'!H62*('TC - fixe'!F15+'TC - fixe'!G15))+('Clés de répartition'!D62*('Vélo - résumé'!F15+'Vélo - résumé'!G15)-'Clés de répartition'!I62*('Vélo - fixe'!F15+'Vélo - fixe'!G15)))*'Clés de répartition'!D146</f>
        <v>0</v>
      </c>
      <c r="Z21" s="54">
        <f t="shared" si="2"/>
        <v>0</v>
      </c>
      <c r="AA21" s="54">
        <f t="shared" si="3"/>
        <v>0</v>
      </c>
      <c r="AC21" t="s">
        <v>774</v>
      </c>
      <c r="AD21" s="16">
        <f t="shared" si="13"/>
        <v>0.68548609386055459</v>
      </c>
      <c r="AE21" s="16">
        <f t="shared" si="13"/>
        <v>0.28184789084762385</v>
      </c>
      <c r="AF21" s="16">
        <f t="shared" si="13"/>
        <v>8.2519926507845284E-3</v>
      </c>
      <c r="AG21" s="16">
        <f t="shared" si="13"/>
        <v>2.4414022641037141E-2</v>
      </c>
      <c r="AH21" s="427"/>
      <c r="AJ21" t="s">
        <v>774</v>
      </c>
      <c r="AK21" s="16">
        <v>0.68548609386055459</v>
      </c>
      <c r="AL21" s="16">
        <v>0.28184789084762385</v>
      </c>
      <c r="AM21" s="16">
        <v>8.2519926507845284E-3</v>
      </c>
      <c r="AN21" s="16">
        <v>2.4414022641037141E-2</v>
      </c>
      <c r="AP21" t="s">
        <v>466</v>
      </c>
      <c r="AQ21" s="16">
        <f t="shared" si="14"/>
        <v>0</v>
      </c>
      <c r="AR21" s="16">
        <f t="shared" si="14"/>
        <v>0</v>
      </c>
      <c r="AS21" s="16">
        <f t="shared" si="14"/>
        <v>0</v>
      </c>
      <c r="AT21" s="16">
        <f t="shared" si="14"/>
        <v>0</v>
      </c>
      <c r="AW21" s="597" t="s">
        <v>82</v>
      </c>
      <c r="AX21" s="54">
        <f>('Clés de répartition'!B62*'Auto - résumé'!F15)*'Clés de répartition'!D146</f>
        <v>8824878.5532101095</v>
      </c>
      <c r="AY21" s="54">
        <f>'Clés de répartition'!G62*'Auto - fixe'!F15*'Clés de répartition'!D146</f>
        <v>8824878.5532101095</v>
      </c>
      <c r="AZ21" s="491">
        <f t="shared" si="8"/>
        <v>0</v>
      </c>
    </row>
    <row r="22" spans="1:52">
      <c r="A22" s="597" t="s">
        <v>83</v>
      </c>
      <c r="B22" s="340">
        <v>0.56618012422360198</v>
      </c>
      <c r="C22" s="340">
        <v>0.24566149068323001</v>
      </c>
      <c r="D22" s="340">
        <v>0.12751863354037299</v>
      </c>
      <c r="E22" s="340">
        <v>6.0639751552795003E-2</v>
      </c>
      <c r="F22" s="484">
        <v>1.1868747627373299</v>
      </c>
      <c r="G22" s="484">
        <v>21.517189402665799</v>
      </c>
      <c r="H22" s="484">
        <v>50.006753641876202</v>
      </c>
      <c r="I22" s="484">
        <v>10.0278415041037</v>
      </c>
      <c r="J22" s="484">
        <v>10.076037078766801</v>
      </c>
      <c r="K22" s="484">
        <v>22.103040425648601</v>
      </c>
      <c r="L22" s="484">
        <v>16.595110172812699</v>
      </c>
      <c r="M22" s="484">
        <v>2.9091522369158098</v>
      </c>
      <c r="N22" s="484">
        <v>0.71967120762060799</v>
      </c>
      <c r="O22" s="484">
        <v>30.876660084471499</v>
      </c>
      <c r="P22" s="17">
        <v>3.4051617623127098E-3</v>
      </c>
      <c r="Q22" s="489">
        <f>('Clés de répartition'!B63-'Clés de répartition'!G63)*'Clés de répartition'!D147</f>
        <v>0</v>
      </c>
      <c r="R22" s="21">
        <f>('Clés de répartition'!C63-'Clés de répartition'!H63)*'Clés de répartition'!D147</f>
        <v>0</v>
      </c>
      <c r="S22" s="21">
        <f>('Clés de répartition'!D63-'Clés de répartition'!I63)*'Clés de répartition'!D147</f>
        <v>0</v>
      </c>
      <c r="T22" s="54">
        <f>(('Clés de répartition'!B63*'Auto - résumé'!D16-'Clés de répartition'!G63*'Auto - fixe'!D16)+('Clés de répartition'!C63*'TC - résumé'!D16-'Clés de répartition'!H63*'TC - fixe'!D16)+('Clés de répartition'!D63*'Vélo - résumé'!D16-'Clés de répartition'!I63*'Vélo - fixe'!D16))*'Clés de répartition'!D147</f>
        <v>0</v>
      </c>
      <c r="U22" s="54">
        <f>(('Clés de répartition'!B63*('Auto - résumé'!B16+'Auto - résumé'!C16)-'Clés de répartition'!G63*('Auto - fixe'!B16+'Auto - fixe'!C16))+('Clés de répartition'!C63*('TC - résumé'!B16+'TC - résumé'!C16)-'Clés de répartition'!H63*('TC - fixe'!B16+'TC - fixe'!C16))+('Clés de répartition'!D63*('Vélo - résumé'!B16+'Vélo - résumé'!C16)-'Clés de répartition'!I63*('Vélo - fixe'!B16+'Vélo - fixe'!C16)))*'Clés de répartition'!D147</f>
        <v>0</v>
      </c>
      <c r="V22" s="54">
        <f t="shared" si="1"/>
        <v>0</v>
      </c>
      <c r="W22" s="54">
        <f>(('Clés de répartition'!B63*('Auto - résumé'!F16)-'Clés de répartition'!G63*('Auto - fixe'!F16)))*'Clés de répartition'!D147</f>
        <v>0</v>
      </c>
      <c r="X22" s="54">
        <f>(('Clés de répartition'!B63*'Auto - résumé'!E16-'Clés de répartition'!G63*'Auto - fixe'!E16)+('Clés de répartition'!C63*'TC - résumé'!E16-'Clés de répartition'!H63*'TC - fixe'!E16)+('Clés de répartition'!D63*'Vélo - résumé'!E16-'Clés de répartition'!I63*'Vélo - fixe'!E16))*'Clés de répartition'!D147</f>
        <v>0</v>
      </c>
      <c r="Y22" s="54">
        <f>(('Clés de répartition'!B63*('Auto - résumé'!F16+'Auto - résumé'!G16+'Auto - résumé'!H16)-'Clés de répartition'!G63*('Auto - fixe'!F16+'Auto - fixe'!G16+'Auto - fixe'!H16))+('Clés de répartition'!C63*('TC - résumé'!F16+'TC - résumé'!G16)-'Clés de répartition'!H63*('TC - fixe'!F16+'TC - fixe'!G16))+('Clés de répartition'!D63*('Vélo - résumé'!F16+'Vélo - résumé'!G16)-'Clés de répartition'!I63*('Vélo - fixe'!F16+'Vélo - fixe'!G16)))*'Clés de répartition'!D147</f>
        <v>0</v>
      </c>
      <c r="Z22" s="54">
        <f t="shared" si="2"/>
        <v>0</v>
      </c>
      <c r="AA22" s="54">
        <f t="shared" si="3"/>
        <v>0</v>
      </c>
      <c r="AG22" s="426"/>
      <c r="AH22" s="292"/>
      <c r="AI22" s="292"/>
      <c r="AW22" s="597" t="s">
        <v>83</v>
      </c>
      <c r="AX22" s="54">
        <f>('Clés de répartition'!B63*'Auto - résumé'!F16)*'Clés de répartition'!D147</f>
        <v>2007875.6934633886</v>
      </c>
      <c r="AY22" s="54">
        <f>'Clés de répartition'!G63*'Auto - fixe'!F16*'Clés de répartition'!D147</f>
        <v>2007875.6934633886</v>
      </c>
      <c r="AZ22" s="491">
        <f t="shared" si="8"/>
        <v>0</v>
      </c>
    </row>
    <row r="23" spans="1:52">
      <c r="A23" s="597" t="s">
        <v>84</v>
      </c>
      <c r="B23" s="340">
        <v>0.61440654843110498</v>
      </c>
      <c r="C23" s="340">
        <v>0.18978171896316501</v>
      </c>
      <c r="D23" s="340">
        <v>0.19581173260573001</v>
      </c>
      <c r="E23" s="340">
        <v>0</v>
      </c>
      <c r="F23" s="484">
        <v>1.0724024447578799</v>
      </c>
      <c r="G23" s="484">
        <v>27.0085109690026</v>
      </c>
      <c r="H23" s="484">
        <v>91.775122804495297</v>
      </c>
      <c r="I23" s="484">
        <v>23.455744443670302</v>
      </c>
      <c r="J23" s="484">
        <v>0</v>
      </c>
      <c r="K23" s="484">
        <v>30.270385913491399</v>
      </c>
      <c r="L23" s="484">
        <v>35.780950327079303</v>
      </c>
      <c r="M23" s="484">
        <v>6.6646276039852301</v>
      </c>
      <c r="N23" s="484">
        <v>0</v>
      </c>
      <c r="O23" s="484">
        <v>38.727484678923503</v>
      </c>
      <c r="P23" s="16">
        <v>0</v>
      </c>
      <c r="Q23" s="489">
        <f>('Clés de répartition'!B64-'Clés de répartition'!G64)*'Clés de répartition'!D148</f>
        <v>0</v>
      </c>
      <c r="R23" s="21">
        <f>('Clés de répartition'!C64-'Clés de répartition'!H64)*'Clés de répartition'!D148</f>
        <v>0</v>
      </c>
      <c r="S23" s="21">
        <f>('Clés de répartition'!D64-'Clés de répartition'!I64)*'Clés de répartition'!D148</f>
        <v>0</v>
      </c>
      <c r="T23" s="54">
        <f>(('Clés de répartition'!B64*'Auto - résumé'!D17-'Clés de répartition'!G64*'Auto - fixe'!D17)+('Clés de répartition'!C64*'TC - résumé'!D17-'Clés de répartition'!H64*'TC - fixe'!D17)+('Clés de répartition'!D64*'Vélo - résumé'!D17-'Clés de répartition'!I64*'Vélo - fixe'!D17))*'Clés de répartition'!D148</f>
        <v>0</v>
      </c>
      <c r="U23" s="54">
        <f>(('Clés de répartition'!B64*('Auto - résumé'!B17+'Auto - résumé'!C17)-'Clés de répartition'!G64*('Auto - fixe'!B17+'Auto - fixe'!C17))+('Clés de répartition'!C64*('TC - résumé'!B17+'TC - résumé'!C17)-'Clés de répartition'!H64*('TC - fixe'!B17+'TC - fixe'!C17))+('Clés de répartition'!D64*('Vélo - résumé'!B17+'Vélo - résumé'!C17)-'Clés de répartition'!I64*('Vélo - fixe'!B17+'Vélo - fixe'!C17)))*'Clés de répartition'!D148</f>
        <v>0</v>
      </c>
      <c r="V23" s="54">
        <f t="shared" si="1"/>
        <v>0</v>
      </c>
      <c r="W23" s="54">
        <f>(('Clés de répartition'!B64*('Auto - résumé'!F17)-'Clés de répartition'!G64*('Auto - fixe'!F17)))*'Clés de répartition'!D148</f>
        <v>0</v>
      </c>
      <c r="X23" s="54">
        <f>(('Clés de répartition'!B64*'Auto - résumé'!E17-'Clés de répartition'!G64*'Auto - fixe'!E17)+('Clés de répartition'!C64*'TC - résumé'!E17-'Clés de répartition'!H64*'TC - fixe'!E17)+('Clés de répartition'!D64*'Vélo - résumé'!E17-'Clés de répartition'!I64*'Vélo - fixe'!E17))*'Clés de répartition'!D148</f>
        <v>0</v>
      </c>
      <c r="Y23" s="54">
        <f>(('Clés de répartition'!B64*('Auto - résumé'!F17+'Auto - résumé'!G17+'Auto - résumé'!H17)-'Clés de répartition'!G64*('Auto - fixe'!F17+'Auto - fixe'!G17+'Auto - fixe'!H17))+('Clés de répartition'!C64*('TC - résumé'!F17+'TC - résumé'!G17)-'Clés de répartition'!H64*('TC - fixe'!F17+'TC - fixe'!G17))+('Clés de répartition'!D64*('Vélo - résumé'!F17+'Vélo - résumé'!G17)-'Clés de répartition'!I64*('Vélo - fixe'!F17+'Vélo - fixe'!G17)))*'Clés de répartition'!D148</f>
        <v>0</v>
      </c>
      <c r="Z23" s="54">
        <f t="shared" si="2"/>
        <v>0</v>
      </c>
      <c r="AA23" s="54">
        <f t="shared" si="3"/>
        <v>0</v>
      </c>
      <c r="AB23" s="428"/>
      <c r="AG23" s="426"/>
      <c r="AH23" s="293"/>
      <c r="AI23" s="293"/>
      <c r="AW23" s="597" t="s">
        <v>84</v>
      </c>
      <c r="AX23" s="54">
        <f>('Clés de répartition'!B64*'Auto - résumé'!F17)*'Clés de répartition'!D148</f>
        <v>542525.92069105629</v>
      </c>
      <c r="AY23" s="54">
        <f>'Clés de répartition'!G64*'Auto - fixe'!F17*'Clés de répartition'!D148</f>
        <v>542525.92069105629</v>
      </c>
      <c r="AZ23" s="491">
        <f t="shared" si="8"/>
        <v>0</v>
      </c>
    </row>
    <row r="24" spans="1:52">
      <c r="A24" s="597" t="s">
        <v>85</v>
      </c>
      <c r="B24" s="340">
        <v>0.116689286828038</v>
      </c>
      <c r="C24" s="340">
        <v>0.36167588310134802</v>
      </c>
      <c r="D24" s="340">
        <v>0.36629215292693101</v>
      </c>
      <c r="E24" s="340">
        <v>0.155342677143681</v>
      </c>
      <c r="F24" s="484">
        <v>1.02386112894657</v>
      </c>
      <c r="G24" s="484">
        <v>22.314110864355499</v>
      </c>
      <c r="H24" s="484">
        <v>28.7600605590785</v>
      </c>
      <c r="I24" s="484">
        <v>15.7613485247887</v>
      </c>
      <c r="J24" s="484">
        <v>21.2116746149931</v>
      </c>
      <c r="K24" s="484">
        <v>18.798361375641498</v>
      </c>
      <c r="L24" s="484">
        <v>6.5203676454217403</v>
      </c>
      <c r="M24" s="484">
        <v>3.7857435212813</v>
      </c>
      <c r="N24" s="484">
        <v>1.51083391453507</v>
      </c>
      <c r="O24" s="484">
        <v>40.902846890252299</v>
      </c>
      <c r="P24" s="17">
        <v>1.8446539815743498E-2</v>
      </c>
      <c r="Q24" s="489">
        <f>('Clés de répartition'!B65-'Clés de répartition'!G65)*'Clés de répartition'!D149</f>
        <v>0</v>
      </c>
      <c r="R24" s="21">
        <f>('Clés de répartition'!C65-'Clés de répartition'!H65)*'Clés de répartition'!D149</f>
        <v>0</v>
      </c>
      <c r="S24" s="21">
        <f>('Clés de répartition'!D65-'Clés de répartition'!I65)*'Clés de répartition'!D149</f>
        <v>0</v>
      </c>
      <c r="T24" s="54">
        <f>(('Clés de répartition'!B65*'Auto - résumé'!D18-'Clés de répartition'!G65*'Auto - fixe'!D18)+('Clés de répartition'!C65*'TC - résumé'!D18-'Clés de répartition'!H65*'TC - fixe'!D18)+('Clés de répartition'!D65*'Vélo - résumé'!D18-'Clés de répartition'!I65*'Vélo - fixe'!D18))*'Clés de répartition'!D149</f>
        <v>0</v>
      </c>
      <c r="U24" s="54">
        <f>(('Clés de répartition'!B65*('Auto - résumé'!B18+'Auto - résumé'!C18)-'Clés de répartition'!G65*('Auto - fixe'!B18+'Auto - fixe'!C18))+('Clés de répartition'!C65*('TC - résumé'!B18+'TC - résumé'!C18)-'Clés de répartition'!H65*('TC - fixe'!B18+'TC - fixe'!C18))+('Clés de répartition'!D65*('Vélo - résumé'!B18+'Vélo - résumé'!C18)-'Clés de répartition'!I65*('Vélo - fixe'!B18+'Vélo - fixe'!C18)))*'Clés de répartition'!D149</f>
        <v>0</v>
      </c>
      <c r="V24" s="54">
        <f t="shared" si="1"/>
        <v>0</v>
      </c>
      <c r="W24" s="54">
        <f>(('Clés de répartition'!B65*('Auto - résumé'!F18)-'Clés de répartition'!G65*('Auto - fixe'!F18)))*'Clés de répartition'!D149</f>
        <v>0</v>
      </c>
      <c r="X24" s="54">
        <f>(('Clés de répartition'!B65*'Auto - résumé'!E18-'Clés de répartition'!G65*'Auto - fixe'!E18)+('Clés de répartition'!C65*'TC - résumé'!E18-'Clés de répartition'!H65*'TC - fixe'!E18)+('Clés de répartition'!D65*'Vélo - résumé'!E18-'Clés de répartition'!I65*'Vélo - fixe'!E18))*'Clés de répartition'!D149</f>
        <v>0</v>
      </c>
      <c r="Y24" s="54">
        <f>(('Clés de répartition'!B65*('Auto - résumé'!F18+'Auto - résumé'!G18+'Auto - résumé'!H18)-'Clés de répartition'!G65*('Auto - fixe'!F18+'Auto - fixe'!G18+'Auto - fixe'!H18))+('Clés de répartition'!C65*('TC - résumé'!F18+'TC - résumé'!G18)-'Clés de répartition'!H65*('TC - fixe'!F18+'TC - fixe'!G18))+('Clés de répartition'!D65*('Vélo - résumé'!F18+'Vélo - résumé'!G18)-'Clés de répartition'!I65*('Vélo - fixe'!F18+'Vélo - fixe'!G18)))*'Clés de répartition'!D149</f>
        <v>0</v>
      </c>
      <c r="Z24" s="54">
        <f t="shared" si="2"/>
        <v>0</v>
      </c>
      <c r="AA24" s="54">
        <f t="shared" si="3"/>
        <v>0</v>
      </c>
      <c r="AC24" t="s">
        <v>777</v>
      </c>
      <c r="AD24" t="s">
        <v>770</v>
      </c>
      <c r="AE24" t="s">
        <v>775</v>
      </c>
      <c r="AF24" t="s">
        <v>784</v>
      </c>
      <c r="AG24" s="292" t="s">
        <v>779</v>
      </c>
      <c r="AH24" s="293"/>
      <c r="AI24" s="293"/>
      <c r="AW24" s="597" t="s">
        <v>85</v>
      </c>
      <c r="AX24" s="54">
        <f>('Clés de répartition'!B65*'Auto - résumé'!F18)*'Clés de répartition'!D149</f>
        <v>2310544.7533543222</v>
      </c>
      <c r="AY24" s="54">
        <f>'Clés de répartition'!G65*'Auto - fixe'!F18*'Clés de répartition'!D149</f>
        <v>2310544.7533543222</v>
      </c>
      <c r="AZ24" s="491">
        <f t="shared" si="8"/>
        <v>0</v>
      </c>
    </row>
    <row r="25" spans="1:52">
      <c r="A25" s="107" t="s">
        <v>585</v>
      </c>
      <c r="B25" s="613"/>
      <c r="C25" s="613"/>
      <c r="D25" s="613"/>
      <c r="E25" s="613"/>
      <c r="F25" s="614"/>
      <c r="G25" s="614"/>
      <c r="H25" s="614"/>
      <c r="I25" s="614"/>
      <c r="J25" s="614"/>
      <c r="K25" s="614"/>
      <c r="L25" s="614"/>
      <c r="M25" s="614"/>
      <c r="N25" s="614"/>
      <c r="O25" s="614"/>
      <c r="P25" s="317"/>
      <c r="Q25" s="490"/>
      <c r="R25" s="317"/>
      <c r="S25" s="317"/>
      <c r="T25" s="317"/>
      <c r="U25" s="317"/>
      <c r="V25" s="317"/>
      <c r="W25" s="317"/>
      <c r="X25" s="317"/>
      <c r="Y25" s="317"/>
      <c r="Z25" s="317"/>
      <c r="AA25" s="317"/>
      <c r="AC25" t="s">
        <v>37</v>
      </c>
      <c r="AD25" s="53">
        <v>418218563.709171</v>
      </c>
      <c r="AE25" s="396">
        <f>'Résultats finaux - PAR PERSONNE'!E15*'Clés de répartition'!B50*'Clés de répartition'!D134</f>
        <v>418218563.709171</v>
      </c>
      <c r="AF25" s="20">
        <f>(AE25-AD25)/1000000</f>
        <v>0</v>
      </c>
      <c r="AG25" s="491">
        <f>(AE25-AD25)/AD25</f>
        <v>0</v>
      </c>
      <c r="AH25" s="293"/>
      <c r="AI25" s="293"/>
      <c r="AW25" s="107" t="s">
        <v>585</v>
      </c>
      <c r="AX25" s="54"/>
      <c r="AY25" s="54"/>
      <c r="AZ25" s="491"/>
    </row>
    <row r="26" spans="1:52">
      <c r="A26" s="597" t="s">
        <v>154</v>
      </c>
      <c r="B26" s="340">
        <v>0.23732528326854599</v>
      </c>
      <c r="C26" s="340">
        <v>0.40586342493146899</v>
      </c>
      <c r="D26" s="340">
        <v>0.25455369923326898</v>
      </c>
      <c r="E26" s="340">
        <v>0.102257592566714</v>
      </c>
      <c r="F26" s="484">
        <v>1.0468110582005301</v>
      </c>
      <c r="G26" s="484">
        <v>24.5443068680934</v>
      </c>
      <c r="H26" s="484">
        <v>39.9261788583349</v>
      </c>
      <c r="I26" s="484">
        <v>18.8698480171029</v>
      </c>
      <c r="J26" s="484">
        <v>14.280120331482101</v>
      </c>
      <c r="K26" s="484">
        <v>17.3663937170796</v>
      </c>
      <c r="L26" s="484">
        <v>10.216516675641801</v>
      </c>
      <c r="M26" s="484">
        <v>5.0153908400818503</v>
      </c>
      <c r="N26" s="484">
        <v>1.0280702466085501</v>
      </c>
      <c r="O26" s="484">
        <v>41.909739225810803</v>
      </c>
      <c r="P26" s="17">
        <v>6.9321325012917295E-2</v>
      </c>
      <c r="Q26" s="489">
        <f>('Clés de répartition'!B67-'Clés de répartition'!G67)*'Clés de répartition'!D151</f>
        <v>0</v>
      </c>
      <c r="R26" s="21">
        <f>('Clés de répartition'!C67-'Clés de répartition'!H67)*'Clés de répartition'!D151</f>
        <v>0</v>
      </c>
      <c r="S26" s="21">
        <f>('Clés de répartition'!D67-'Clés de répartition'!I67)*'Clés de répartition'!D151</f>
        <v>0</v>
      </c>
      <c r="T26" s="54">
        <f>(('Clés de répartition'!B67*'Auto - résumé'!D20-'Clés de répartition'!G67*'Auto - fixe'!D20)+('Clés de répartition'!C67*'TC - résumé'!D20-'Clés de répartition'!H67*'TC - fixe'!D20)+('Clés de répartition'!D67*'Vélo - résumé'!D20-'Clés de répartition'!I67*'Vélo - fixe'!D20))*'Clés de répartition'!D151</f>
        <v>0</v>
      </c>
      <c r="U26" s="54">
        <f>(('Clés de répartition'!B67*('Auto - résumé'!B20+'Auto - résumé'!C20)-'Clés de répartition'!G67*('Auto - fixe'!B20+'Auto - fixe'!C20))+('Clés de répartition'!C67*('TC - résumé'!B20+'TC - résumé'!C20)-'Clés de répartition'!H67*('TC - fixe'!B20+'TC - fixe'!C20))+('Clés de répartition'!D67*('Vélo - résumé'!B20+'Vélo - résumé'!C20)-'Clés de répartition'!I67*('Vélo - fixe'!B20+'Vélo - fixe'!C20)))*'Clés de répartition'!D151</f>
        <v>0</v>
      </c>
      <c r="V26" s="54">
        <f t="shared" si="1"/>
        <v>0</v>
      </c>
      <c r="W26" s="54">
        <f>(('Clés de répartition'!B67*('Auto - résumé'!F20)-'Clés de répartition'!G67*('Auto - fixe'!F20)))*'Clés de répartition'!D151</f>
        <v>0</v>
      </c>
      <c r="X26" s="54">
        <f>(('Clés de répartition'!B67*'Auto - résumé'!E20-'Clés de répartition'!G67*'Auto - fixe'!E20)+('Clés de répartition'!C67*'TC - résumé'!E20-'Clés de répartition'!H67*'TC - fixe'!E20)+('Clés de répartition'!D67*'Vélo - résumé'!E20-'Clés de répartition'!I67*'Vélo - fixe'!E20))*'Clés de répartition'!D151</f>
        <v>0</v>
      </c>
      <c r="Y26" s="54">
        <f>(('Clés de répartition'!B67*('Auto - résumé'!F20+'Auto - résumé'!G20+'Auto - résumé'!H20)-'Clés de répartition'!G67*('Auto - fixe'!F20+'Auto - fixe'!G20+'Auto - fixe'!H20))+('Clés de répartition'!C67*('TC - résumé'!F20+'TC - résumé'!G20)-'Clés de répartition'!H67*('TC - fixe'!F20+'TC - fixe'!G20))+('Clés de répartition'!D67*('Vélo - résumé'!F20+'Vélo - résumé'!G20)-'Clés de répartition'!I67*('Vélo - fixe'!F20+'Vélo - fixe'!G20)))*'Clés de répartition'!D151</f>
        <v>0</v>
      </c>
      <c r="Z26" s="54">
        <f t="shared" si="2"/>
        <v>0</v>
      </c>
      <c r="AA26" s="54">
        <f t="shared" si="3"/>
        <v>0</v>
      </c>
      <c r="AC26" t="s">
        <v>143</v>
      </c>
      <c r="AD26" s="53">
        <v>1265359760.2860718</v>
      </c>
      <c r="AE26" s="396">
        <f>'Résultats finaux - PAR PERSONNE'!E16*'Clés de répartition'!B50*'Clés de répartition'!D134</f>
        <v>1265359760.2860718</v>
      </c>
      <c r="AF26" s="20">
        <f t="shared" ref="AF26:AF29" si="15">(AE26-AD26)/1000000</f>
        <v>0</v>
      </c>
      <c r="AG26" s="491">
        <f>(AE26-AD26)/AD26</f>
        <v>0</v>
      </c>
      <c r="AH26" s="293"/>
      <c r="AI26" s="293"/>
      <c r="AW26" s="597" t="s">
        <v>154</v>
      </c>
      <c r="AX26" s="54">
        <f>('Clés de répartition'!B67*'Auto - résumé'!F20)*'Clés de répartition'!D151</f>
        <v>25748434.054221306</v>
      </c>
      <c r="AY26" s="54">
        <f>'Clés de répartition'!G67*'Auto - fixe'!F20*'Clés de répartition'!D151</f>
        <v>25748434.054221306</v>
      </c>
      <c r="AZ26" s="491">
        <f t="shared" si="8"/>
        <v>0</v>
      </c>
    </row>
    <row r="27" spans="1:52">
      <c r="A27" s="597" t="s">
        <v>155</v>
      </c>
      <c r="B27" s="340">
        <v>0.29117967620749302</v>
      </c>
      <c r="C27" s="340">
        <v>0.329595677975205</v>
      </c>
      <c r="D27" s="340">
        <v>0.26778004985834197</v>
      </c>
      <c r="E27" s="340">
        <v>0.111444595958959</v>
      </c>
      <c r="F27" s="484">
        <v>1.0397527875341701</v>
      </c>
      <c r="G27" s="484">
        <v>26.350147504631199</v>
      </c>
      <c r="H27" s="484">
        <v>42.876760941338901</v>
      </c>
      <c r="I27" s="484">
        <v>17.1495714257162</v>
      </c>
      <c r="J27" s="484">
        <v>14.560982512229099</v>
      </c>
      <c r="K27" s="484">
        <v>19.831301703754001</v>
      </c>
      <c r="L27" s="484">
        <v>11.337203484429599</v>
      </c>
      <c r="M27" s="484">
        <v>4.7407739463382796</v>
      </c>
      <c r="N27" s="484">
        <v>1.0631401834535099</v>
      </c>
      <c r="O27" s="484">
        <v>51.377347831281497</v>
      </c>
      <c r="P27" s="17">
        <v>2.6970925840823098E-2</v>
      </c>
      <c r="Q27" s="489">
        <f>('Clés de répartition'!B68-'Clés de répartition'!G68)*'Clés de répartition'!D152</f>
        <v>0</v>
      </c>
      <c r="R27" s="21">
        <f>('Clés de répartition'!C68-'Clés de répartition'!H68)*'Clés de répartition'!D152</f>
        <v>0</v>
      </c>
      <c r="S27" s="21">
        <f>('Clés de répartition'!D68-'Clés de répartition'!I68)*'Clés de répartition'!D152</f>
        <v>0</v>
      </c>
      <c r="T27" s="54">
        <f>(('Clés de répartition'!B68*'Auto - résumé'!D21-'Clés de répartition'!G68*'Auto - fixe'!D21)+('Clés de répartition'!C68*'TC - résumé'!D21-'Clés de répartition'!H68*'TC - fixe'!D21)+('Clés de répartition'!D68*'Vélo - résumé'!D21-'Clés de répartition'!I68*'Vélo - fixe'!D21))*'Clés de répartition'!D152</f>
        <v>0</v>
      </c>
      <c r="U27" s="54">
        <f>(('Clés de répartition'!B68*('Auto - résumé'!B21+'Auto - résumé'!C21)-'Clés de répartition'!G68*('Auto - fixe'!B21+'Auto - fixe'!C21))+('Clés de répartition'!C68*('TC - résumé'!B21+'TC - résumé'!C21)-'Clés de répartition'!H68*('TC - fixe'!B21+'TC - fixe'!C21))+('Clés de répartition'!D68*('Vélo - résumé'!B21+'Vélo - résumé'!C21)-'Clés de répartition'!I68*('Vélo - fixe'!B21+'Vélo - fixe'!C21)))*'Clés de répartition'!D152</f>
        <v>0</v>
      </c>
      <c r="V27" s="54">
        <f t="shared" si="1"/>
        <v>0</v>
      </c>
      <c r="W27" s="54">
        <f>(('Clés de répartition'!B68*('Auto - résumé'!F21)-'Clés de répartition'!G68*('Auto - fixe'!F21)))*'Clés de répartition'!D152</f>
        <v>0</v>
      </c>
      <c r="X27" s="54">
        <f>(('Clés de répartition'!B68*'Auto - résumé'!E21-'Clés de répartition'!G68*'Auto - fixe'!E21)+('Clés de répartition'!C68*'TC - résumé'!E21-'Clés de répartition'!H68*'TC - fixe'!E21)+('Clés de répartition'!D68*'Vélo - résumé'!E21-'Clés de répartition'!I68*'Vélo - fixe'!E21))*'Clés de répartition'!D152</f>
        <v>0</v>
      </c>
      <c r="Y27" s="54">
        <f>(('Clés de répartition'!B68*('Auto - résumé'!F21+'Auto - résumé'!G21+'Auto - résumé'!H21)-'Clés de répartition'!G68*('Auto - fixe'!F21+'Auto - fixe'!G21+'Auto - fixe'!H21))+('Clés de répartition'!C68*('TC - résumé'!F21+'TC - résumé'!G21)-'Clés de répartition'!H68*('TC - fixe'!F21+'TC - fixe'!G21))+('Clés de répartition'!D68*('Vélo - résumé'!F21+'Vélo - résumé'!G21)-'Clés de répartition'!I68*('Vélo - fixe'!F21+'Vélo - fixe'!G21)))*'Clés de répartition'!D152</f>
        <v>0</v>
      </c>
      <c r="Z27" s="54">
        <f t="shared" si="2"/>
        <v>0</v>
      </c>
      <c r="AA27" s="54">
        <f t="shared" si="3"/>
        <v>0</v>
      </c>
      <c r="AC27" t="s">
        <v>778</v>
      </c>
      <c r="AD27" s="53">
        <v>1031406529.1411699</v>
      </c>
      <c r="AE27" s="396">
        <f>'Résultats finaux - PAR PERSONNE'!E17*'Clés de répartition'!B50*'Clés de répartition'!D134</f>
        <v>1031406529.1411699</v>
      </c>
      <c r="AF27" s="20">
        <f t="shared" si="15"/>
        <v>0</v>
      </c>
      <c r="AG27" s="491">
        <f>(AE27-AD27)/AD27</f>
        <v>0</v>
      </c>
      <c r="AH27" s="293"/>
      <c r="AI27" s="293"/>
      <c r="AW27" s="597" t="s">
        <v>155</v>
      </c>
      <c r="AX27" s="54">
        <f>('Clés de répartition'!B68*'Auto - résumé'!F21)*'Clés de répartition'!D152</f>
        <v>9597451.3367785569</v>
      </c>
      <c r="AY27" s="54">
        <f>'Clés de répartition'!G68*'Auto - fixe'!F21*'Clés de répartition'!D152</f>
        <v>9597451.3367785569</v>
      </c>
      <c r="AZ27" s="491">
        <f t="shared" si="8"/>
        <v>0</v>
      </c>
    </row>
    <row r="28" spans="1:52">
      <c r="A28" s="597" t="s">
        <v>156</v>
      </c>
      <c r="B28" s="340">
        <v>0.137668018289204</v>
      </c>
      <c r="C28" s="340">
        <v>0.46819284918883097</v>
      </c>
      <c r="D28" s="340">
        <v>0.23989689205513601</v>
      </c>
      <c r="E28" s="340">
        <v>0.15424224046683099</v>
      </c>
      <c r="F28" s="484">
        <v>1.0259894888927199</v>
      </c>
      <c r="G28" s="484">
        <v>23.204524293974998</v>
      </c>
      <c r="H28" s="484">
        <v>32.510392932050301</v>
      </c>
      <c r="I28" s="484">
        <v>15.948175375163601</v>
      </c>
      <c r="J28" s="484">
        <v>16.929718973793101</v>
      </c>
      <c r="K28" s="484">
        <v>18.649881205239801</v>
      </c>
      <c r="L28" s="484">
        <v>7.5758879847797198</v>
      </c>
      <c r="M28" s="484">
        <v>4.0719479084281502</v>
      </c>
      <c r="N28" s="484">
        <v>1.1811430785408099</v>
      </c>
      <c r="O28" s="484">
        <v>38.994522043126999</v>
      </c>
      <c r="P28" s="17">
        <v>7.4642941364138501E-2</v>
      </c>
      <c r="Q28" s="489">
        <f>('Clés de répartition'!B69-'Clés de répartition'!G69)*'Clés de répartition'!D153</f>
        <v>0</v>
      </c>
      <c r="R28" s="21">
        <f>('Clés de répartition'!C69-'Clés de répartition'!H69)*'Clés de répartition'!D153</f>
        <v>0</v>
      </c>
      <c r="S28" s="21">
        <f>('Clés de répartition'!D69-'Clés de répartition'!I69)*'Clés de répartition'!D153</f>
        <v>0</v>
      </c>
      <c r="T28" s="54">
        <f>(('Clés de répartition'!B69*'Auto - résumé'!D22-'Clés de répartition'!G69*'Auto - fixe'!D22)+('Clés de répartition'!C69*'TC - résumé'!D22-'Clés de répartition'!H69*'TC - fixe'!D22)+('Clés de répartition'!D69*'Vélo - résumé'!D22-'Clés de répartition'!I69*'Vélo - fixe'!D22))*'Clés de répartition'!D153</f>
        <v>0</v>
      </c>
      <c r="U28" s="54">
        <f>(('Clés de répartition'!B69*('Auto - résumé'!B22+'Auto - résumé'!C22)-'Clés de répartition'!G69*('Auto - fixe'!B22+'Auto - fixe'!C22))+('Clés de répartition'!C69*('TC - résumé'!B22+'TC - résumé'!C22)-'Clés de répartition'!H69*('TC - fixe'!B22+'TC - fixe'!C22))+('Clés de répartition'!D69*('Vélo - résumé'!B22+'Vélo - résumé'!C22)-'Clés de répartition'!I69*('Vélo - fixe'!B22+'Vélo - fixe'!C22)))*'Clés de répartition'!D153</f>
        <v>0</v>
      </c>
      <c r="V28" s="54">
        <f t="shared" si="1"/>
        <v>0</v>
      </c>
      <c r="W28" s="54">
        <f>(('Clés de répartition'!B69*('Auto - résumé'!F22)-'Clés de répartition'!G69*('Auto - fixe'!F22)))*'Clés de répartition'!D153</f>
        <v>0</v>
      </c>
      <c r="X28" s="54">
        <f>(('Clés de répartition'!B69*'Auto - résumé'!E22-'Clés de répartition'!G69*'Auto - fixe'!E22)+('Clés de répartition'!C69*'TC - résumé'!E22-'Clés de répartition'!H69*'TC - fixe'!E22)+('Clés de répartition'!D69*'Vélo - résumé'!E22-'Clés de répartition'!I69*'Vélo - fixe'!E22))*'Clés de répartition'!D153</f>
        <v>0</v>
      </c>
      <c r="Y28" s="54">
        <f>(('Clés de répartition'!B69*('Auto - résumé'!F22+'Auto - résumé'!G22+'Auto - résumé'!H22)-'Clés de répartition'!G69*('Auto - fixe'!F22+'Auto - fixe'!G22+'Auto - fixe'!H22))+('Clés de répartition'!C69*('TC - résumé'!F22+'TC - résumé'!G22)-'Clés de répartition'!H69*('TC - fixe'!F22+'TC - fixe'!G22))+('Clés de répartition'!D69*('Vélo - résumé'!F22+'Vélo - résumé'!G22)-'Clés de répartition'!I69*('Vélo - fixe'!F22+'Vélo - fixe'!G22)))*'Clés de répartition'!D153</f>
        <v>0</v>
      </c>
      <c r="Z28" s="54">
        <f t="shared" si="2"/>
        <v>0</v>
      </c>
      <c r="AA28" s="54">
        <f t="shared" si="3"/>
        <v>0</v>
      </c>
      <c r="AC28" t="s">
        <v>783</v>
      </c>
      <c r="AD28" s="53">
        <v>-487204372.40536511</v>
      </c>
      <c r="AE28" s="429">
        <f>-'Caché - Santé'!F8</f>
        <v>-487204372.40536511</v>
      </c>
      <c r="AF28" s="20">
        <f t="shared" si="15"/>
        <v>0</v>
      </c>
      <c r="AG28" s="491">
        <f>(AE28-AD28)/AD28</f>
        <v>0</v>
      </c>
      <c r="AH28" s="293"/>
      <c r="AI28" s="293"/>
      <c r="AW28" s="597" t="s">
        <v>156</v>
      </c>
      <c r="AX28" s="54">
        <f>('Clés de répartition'!B69*'Auto - résumé'!F22)*'Clés de répartition'!D153</f>
        <v>24089325.964496035</v>
      </c>
      <c r="AY28" s="54">
        <f>'Clés de répartition'!G69*'Auto - fixe'!F22*'Clés de répartition'!D153</f>
        <v>24089325.964496035</v>
      </c>
      <c r="AZ28" s="491">
        <f t="shared" si="8"/>
        <v>0</v>
      </c>
    </row>
    <row r="29" spans="1:52">
      <c r="A29" s="597" t="s">
        <v>403</v>
      </c>
      <c r="B29" s="340">
        <v>0.51105814411296302</v>
      </c>
      <c r="C29" s="340">
        <v>0.199655062482468</v>
      </c>
      <c r="D29" s="340">
        <v>0.23755157623293899</v>
      </c>
      <c r="E29" s="340">
        <v>5.1735217171628801E-2</v>
      </c>
      <c r="F29" s="484">
        <v>1.0972946420896199</v>
      </c>
      <c r="G29" s="484">
        <v>28.359005315375999</v>
      </c>
      <c r="H29" s="484">
        <v>58.130484376116897</v>
      </c>
      <c r="I29" s="484">
        <v>14.4163352476795</v>
      </c>
      <c r="J29" s="484">
        <v>13.955559220317401</v>
      </c>
      <c r="K29" s="484">
        <v>24.075925426748899</v>
      </c>
      <c r="L29" s="484">
        <v>18.028037830724401</v>
      </c>
      <c r="M29" s="484">
        <v>4.1891551531418596</v>
      </c>
      <c r="N29" s="484">
        <v>1.0036683372617801</v>
      </c>
      <c r="O29" s="484">
        <v>45.914346466093399</v>
      </c>
      <c r="P29" s="17">
        <v>2.1859259099619301E-2</v>
      </c>
      <c r="Q29" s="489">
        <f>('Clés de répartition'!B70-'Clés de répartition'!G70)*'Clés de répartition'!D154</f>
        <v>0</v>
      </c>
      <c r="R29" s="21">
        <f>('Clés de répartition'!C70-'Clés de répartition'!H70)*'Clés de répartition'!D154</f>
        <v>0</v>
      </c>
      <c r="S29" s="21">
        <f>('Clés de répartition'!D70-'Clés de répartition'!I70)*'Clés de répartition'!D154</f>
        <v>0</v>
      </c>
      <c r="T29" s="54">
        <f>(('Clés de répartition'!B70*'Auto - résumé'!D23-'Clés de répartition'!G70*'Auto - fixe'!D23)+('Clés de répartition'!C70*'TC - résumé'!D23-'Clés de répartition'!H70*'TC - fixe'!D23)+('Clés de répartition'!D70*'Vélo - résumé'!D23-'Clés de répartition'!I70*'Vélo - fixe'!D23))*'Clés de répartition'!D154</f>
        <v>0</v>
      </c>
      <c r="U29" s="54">
        <f>(('Clés de répartition'!B70*('Auto - résumé'!B23+'Auto - résumé'!C23)-'Clés de répartition'!G70*('Auto - fixe'!B23+'Auto - fixe'!C23))+('Clés de répartition'!C70*('TC - résumé'!B23+'TC - résumé'!C23)-'Clés de répartition'!H70*('TC - fixe'!B23+'TC - fixe'!C23))+('Clés de répartition'!D70*('Vélo - résumé'!B23+'Vélo - résumé'!C23)-'Clés de répartition'!I70*('Vélo - fixe'!B23+'Vélo - fixe'!C23)))*'Clés de répartition'!D154</f>
        <v>0</v>
      </c>
      <c r="V29" s="54">
        <f t="shared" si="1"/>
        <v>0</v>
      </c>
      <c r="W29" s="54">
        <f>(('Clés de répartition'!B70*('Auto - résumé'!F23)-'Clés de répartition'!G70*('Auto - fixe'!F23)))*'Clés de répartition'!D154</f>
        <v>0</v>
      </c>
      <c r="X29" s="54">
        <f>(('Clés de répartition'!B70*'Auto - résumé'!E23-'Clés de répartition'!G70*'Auto - fixe'!E23)+('Clés de répartition'!C70*'TC - résumé'!E23-'Clés de répartition'!H70*'TC - fixe'!E23)+('Clés de répartition'!D70*'Vélo - résumé'!E23-'Clés de répartition'!I70*'Vélo - fixe'!E23))*'Clés de répartition'!D154</f>
        <v>0</v>
      </c>
      <c r="Y29" s="54">
        <f>(('Clés de répartition'!B70*('Auto - résumé'!F23+'Auto - résumé'!G23+'Auto - résumé'!H23)-'Clés de répartition'!G70*('Auto - fixe'!F23+'Auto - fixe'!G23+'Auto - fixe'!H23))+('Clés de répartition'!C70*('TC - résumé'!F23+'TC - résumé'!G23)-'Clés de répartition'!H70*('TC - fixe'!F23+'TC - fixe'!G23))+('Clés de répartition'!D70*('Vélo - résumé'!F23+'Vélo - résumé'!G23)-'Clés de répartition'!I70*('Vélo - fixe'!F23+'Vélo - fixe'!G23)))*'Clés de répartition'!D154</f>
        <v>0</v>
      </c>
      <c r="Z29" s="54">
        <f t="shared" si="2"/>
        <v>0</v>
      </c>
      <c r="AA29" s="54">
        <f t="shared" si="3"/>
        <v>0</v>
      </c>
      <c r="AC29" t="s">
        <v>22</v>
      </c>
      <c r="AD29" s="53">
        <v>1349323282.7056968</v>
      </c>
      <c r="AE29" s="429">
        <f>SUM('Caché - Emprise spatiale'!H17:K17)</f>
        <v>1349323282.7056968</v>
      </c>
      <c r="AF29" s="20">
        <f t="shared" si="15"/>
        <v>0</v>
      </c>
      <c r="AG29" s="491">
        <f>(AE29-AD29)/AD29</f>
        <v>0</v>
      </c>
      <c r="AH29" s="293"/>
      <c r="AI29" s="293"/>
      <c r="AW29" s="597" t="s">
        <v>403</v>
      </c>
      <c r="AX29" s="54">
        <f>('Clés de répartition'!B70*'Auto - résumé'!F23)*'Clés de répartition'!D154</f>
        <v>8090621.1139736027</v>
      </c>
      <c r="AY29" s="54">
        <f>'Clés de répartition'!G70*'Auto - fixe'!F23*'Clés de répartition'!D154</f>
        <v>8090621.1139736027</v>
      </c>
      <c r="AZ29" s="491">
        <f t="shared" si="8"/>
        <v>0</v>
      </c>
    </row>
    <row r="30" spans="1:52">
      <c r="A30" s="597" t="s">
        <v>168</v>
      </c>
      <c r="B30" s="340">
        <v>0.38133830931622098</v>
      </c>
      <c r="C30" s="340">
        <v>0.31202710370303099</v>
      </c>
      <c r="D30" s="340">
        <v>0.24796839217452499</v>
      </c>
      <c r="E30" s="340">
        <v>5.86661948062202E-2</v>
      </c>
      <c r="F30" s="484">
        <v>1.11018831913376</v>
      </c>
      <c r="G30" s="484">
        <v>24.858571669619501</v>
      </c>
      <c r="H30" s="484">
        <v>44.684302846441099</v>
      </c>
      <c r="I30" s="484">
        <v>14.9865186115669</v>
      </c>
      <c r="J30" s="484">
        <v>10.4975995213999</v>
      </c>
      <c r="K30" s="484">
        <v>18.7504365983295</v>
      </c>
      <c r="L30" s="484">
        <v>11.6900931904506</v>
      </c>
      <c r="M30" s="484">
        <v>4.2464309461991796</v>
      </c>
      <c r="N30" s="484">
        <v>0.76136363636363602</v>
      </c>
      <c r="O30" s="484">
        <v>42.5274555540216</v>
      </c>
      <c r="P30" s="17">
        <v>3.054816655565E-2</v>
      </c>
      <c r="Q30" s="489">
        <f>('Clés de répartition'!B71-'Clés de répartition'!G71)*'Clés de répartition'!D155</f>
        <v>0</v>
      </c>
      <c r="R30" s="21">
        <f>('Clés de répartition'!C71-'Clés de répartition'!H71)*'Clés de répartition'!D155</f>
        <v>0</v>
      </c>
      <c r="S30" s="21">
        <f>('Clés de répartition'!D71-'Clés de répartition'!I71)*'Clés de répartition'!D155</f>
        <v>0</v>
      </c>
      <c r="T30" s="54">
        <f>(('Clés de répartition'!B71*'Auto - résumé'!D24-'Clés de répartition'!G71*'Auto - fixe'!D24)+('Clés de répartition'!C71*'TC - résumé'!D24-'Clés de répartition'!H71*'TC - fixe'!D24)+('Clés de répartition'!D71*'Vélo - résumé'!D24-'Clés de répartition'!I71*'Vélo - fixe'!D24))*'Clés de répartition'!D155</f>
        <v>0</v>
      </c>
      <c r="U30" s="54">
        <f>(('Clés de répartition'!B71*('Auto - résumé'!B24+'Auto - résumé'!C24)-'Clés de répartition'!G71*('Auto - fixe'!B24+'Auto - fixe'!C24))+('Clés de répartition'!C71*('TC - résumé'!B24+'TC - résumé'!C24)-'Clés de répartition'!H71*('TC - fixe'!B24+'TC - fixe'!C24))+('Clés de répartition'!D71*('Vélo - résumé'!B24+'Vélo - résumé'!C24)-'Clés de répartition'!I71*('Vélo - fixe'!B24+'Vélo - fixe'!C24)))*'Clés de répartition'!D155</f>
        <v>0</v>
      </c>
      <c r="V30" s="54">
        <f t="shared" si="1"/>
        <v>0</v>
      </c>
      <c r="W30" s="54">
        <f>(('Clés de répartition'!B71*('Auto - résumé'!F24)-'Clés de répartition'!G71*('Auto - fixe'!F24)))*'Clés de répartition'!D155</f>
        <v>0</v>
      </c>
      <c r="X30" s="54">
        <f>(('Clés de répartition'!B71*'Auto - résumé'!E24-'Clés de répartition'!G71*'Auto - fixe'!E24)+('Clés de répartition'!C71*'TC - résumé'!E24-'Clés de répartition'!H71*'TC - fixe'!E24)+('Clés de répartition'!D71*'Vélo - résumé'!E24-'Clés de répartition'!I71*'Vélo - fixe'!E24))*'Clés de répartition'!D155</f>
        <v>0</v>
      </c>
      <c r="Y30" s="54">
        <f>(('Clés de répartition'!B71*('Auto - résumé'!F24+'Auto - résumé'!G24+'Auto - résumé'!H24)-'Clés de répartition'!G71*('Auto - fixe'!F24+'Auto - fixe'!G24+'Auto - fixe'!H24))+('Clés de répartition'!C71*('TC - résumé'!F24+'TC - résumé'!G24)-'Clés de répartition'!H71*('TC - fixe'!F24+'TC - fixe'!G24))+('Clés de répartition'!D71*('Vélo - résumé'!F24+'Vélo - résumé'!G24)-'Clés de répartition'!I71*('Vélo - fixe'!F24+'Vélo - fixe'!G24)))*'Clés de répartition'!D155</f>
        <v>0</v>
      </c>
      <c r="Z30" s="54">
        <f t="shared" si="2"/>
        <v>0</v>
      </c>
      <c r="AA30" s="54">
        <f t="shared" si="3"/>
        <v>0</v>
      </c>
      <c r="AE30" s="293"/>
      <c r="AF30" s="293"/>
      <c r="AG30" s="293"/>
      <c r="AH30" s="293"/>
      <c r="AI30" s="293"/>
      <c r="AW30" s="597" t="s">
        <v>168</v>
      </c>
      <c r="AX30" s="54">
        <f>('Clés de répartition'!B71*'Auto - résumé'!F24)*'Clés de répartition'!D155</f>
        <v>13904423.049268</v>
      </c>
      <c r="AY30" s="54">
        <f>'Clés de répartition'!G71*'Auto - fixe'!F24*'Clés de répartition'!D155</f>
        <v>13904423.049268</v>
      </c>
      <c r="AZ30" s="491">
        <f t="shared" si="8"/>
        <v>0</v>
      </c>
    </row>
    <row r="31" spans="1:52">
      <c r="A31" s="597" t="s">
        <v>167</v>
      </c>
      <c r="B31" s="340">
        <v>0.39503609339443202</v>
      </c>
      <c r="C31" s="340">
        <v>0.29636194091712098</v>
      </c>
      <c r="D31" s="340">
        <v>0.21388199237781799</v>
      </c>
      <c r="E31" s="340">
        <v>9.4719973310629701E-2</v>
      </c>
      <c r="F31" s="484">
        <v>1.06704513001516</v>
      </c>
      <c r="G31" s="484">
        <v>20.201013944317001</v>
      </c>
      <c r="H31" s="484">
        <v>44.026304574789798</v>
      </c>
      <c r="I31" s="484">
        <v>12.677405406178901</v>
      </c>
      <c r="J31" s="484">
        <v>11.2605975253457</v>
      </c>
      <c r="K31" s="484">
        <v>16.889077758759498</v>
      </c>
      <c r="L31" s="484">
        <v>12.128002373344399</v>
      </c>
      <c r="M31" s="484">
        <v>3.6560860953134999</v>
      </c>
      <c r="N31" s="484">
        <v>0.81946737037685302</v>
      </c>
      <c r="O31" s="484">
        <v>33.936314366643103</v>
      </c>
      <c r="P31" s="17">
        <v>2.5611568555710701E-2</v>
      </c>
      <c r="Q31" s="489">
        <f>('Clés de répartition'!B72-'Clés de répartition'!G72)*'Clés de répartition'!D156</f>
        <v>0</v>
      </c>
      <c r="R31" s="21">
        <f>('Clés de répartition'!C72-'Clés de répartition'!H72)*'Clés de répartition'!D156</f>
        <v>0</v>
      </c>
      <c r="S31" s="21">
        <f>('Clés de répartition'!D72-'Clés de répartition'!I72)*'Clés de répartition'!D156</f>
        <v>0</v>
      </c>
      <c r="T31" s="54">
        <f>(('Clés de répartition'!B72*'Auto - résumé'!D25-'Clés de répartition'!G72*'Auto - fixe'!D25)+('Clés de répartition'!C72*'TC - résumé'!D25-'Clés de répartition'!H72*'TC - fixe'!D25)+('Clés de répartition'!D72*'Vélo - résumé'!D25-'Clés de répartition'!I72*'Vélo - fixe'!D25))*'Clés de répartition'!D156</f>
        <v>0</v>
      </c>
      <c r="U31" s="54">
        <f>(('Clés de répartition'!B72*('Auto - résumé'!B25+'Auto - résumé'!C25)-'Clés de répartition'!G72*('Auto - fixe'!B25+'Auto - fixe'!C25))+('Clés de répartition'!C72*('TC - résumé'!B25+'TC - résumé'!C25)-'Clés de répartition'!H72*('TC - fixe'!B25+'TC - fixe'!C25))+('Clés de répartition'!D72*('Vélo - résumé'!B25+'Vélo - résumé'!C25)-'Clés de répartition'!I72*('Vélo - fixe'!B25+'Vélo - fixe'!C25)))*'Clés de répartition'!D156</f>
        <v>0</v>
      </c>
      <c r="V31" s="54">
        <f t="shared" si="1"/>
        <v>0</v>
      </c>
      <c r="W31" s="54">
        <f>(('Clés de répartition'!B72*('Auto - résumé'!F25)-'Clés de répartition'!G72*('Auto - fixe'!F25)))*'Clés de répartition'!D156</f>
        <v>0</v>
      </c>
      <c r="X31" s="54">
        <f>(('Clés de répartition'!B72*'Auto - résumé'!E25-'Clés de répartition'!G72*'Auto - fixe'!E25)+('Clés de répartition'!C72*'TC - résumé'!E25-'Clés de répartition'!H72*'TC - fixe'!E25)+('Clés de répartition'!D72*'Vélo - résumé'!E25-'Clés de répartition'!I72*'Vélo - fixe'!E25))*'Clés de répartition'!D156</f>
        <v>0</v>
      </c>
      <c r="Y31" s="54">
        <f>(('Clés de répartition'!B72*('Auto - résumé'!F25+'Auto - résumé'!G25+'Auto - résumé'!H25)-'Clés de répartition'!G72*('Auto - fixe'!F25+'Auto - fixe'!G25+'Auto - fixe'!H25))+('Clés de répartition'!C72*('TC - résumé'!F25+'TC - résumé'!G25)-'Clés de répartition'!H72*('TC - fixe'!F25+'TC - fixe'!G25))+('Clés de répartition'!D72*('Vélo - résumé'!F25+'Vélo - résumé'!G25)-'Clés de répartition'!I72*('Vélo - fixe'!F25+'Vélo - fixe'!G25)))*'Clés de répartition'!D156</f>
        <v>0</v>
      </c>
      <c r="Z31" s="54">
        <f t="shared" si="2"/>
        <v>0</v>
      </c>
      <c r="AA31" s="54">
        <f t="shared" si="3"/>
        <v>0</v>
      </c>
      <c r="AE31" s="293"/>
      <c r="AF31" s="293"/>
      <c r="AG31" s="293"/>
      <c r="AH31" s="293"/>
      <c r="AI31" s="293"/>
      <c r="AW31" s="597" t="s">
        <v>167</v>
      </c>
      <c r="AX31" s="54">
        <f>('Clés de répartition'!B72*'Auto - résumé'!F25)*'Clés de répartition'!D156</f>
        <v>20526643.310348026</v>
      </c>
      <c r="AY31" s="54">
        <f>'Clés de répartition'!G72*'Auto - fixe'!F25*'Clés de répartition'!D156</f>
        <v>20526643.310348026</v>
      </c>
      <c r="AZ31" s="491">
        <f t="shared" si="8"/>
        <v>0</v>
      </c>
    </row>
    <row r="32" spans="1:52">
      <c r="A32" s="597" t="s">
        <v>170</v>
      </c>
      <c r="B32" s="340">
        <v>0.19191898851561101</v>
      </c>
      <c r="C32" s="340">
        <v>0.46457425637518601</v>
      </c>
      <c r="D32" s="340">
        <v>0.24216520796375199</v>
      </c>
      <c r="E32" s="340">
        <v>0.101341547145451</v>
      </c>
      <c r="F32" s="484">
        <v>1.04576228706596</v>
      </c>
      <c r="G32" s="484">
        <v>26.494097136980599</v>
      </c>
      <c r="H32" s="484">
        <v>36.554750913717399</v>
      </c>
      <c r="I32" s="484">
        <v>17.760749706030001</v>
      </c>
      <c r="J32" s="484">
        <v>15.361647484103701</v>
      </c>
      <c r="K32" s="484">
        <v>19.281165560366102</v>
      </c>
      <c r="L32" s="484">
        <v>9.7579695273787301</v>
      </c>
      <c r="M32" s="484">
        <v>4.5506649637907897</v>
      </c>
      <c r="N32" s="484">
        <v>1.0958180484226001</v>
      </c>
      <c r="O32" s="484">
        <v>48.196702822932899</v>
      </c>
      <c r="P32" s="17">
        <v>6.9734829407014004E-2</v>
      </c>
      <c r="Q32" s="489">
        <f>('Clés de répartition'!B73-'Clés de répartition'!G73)*'Clés de répartition'!D157</f>
        <v>0</v>
      </c>
      <c r="R32" s="21">
        <f>('Clés de répartition'!C73-'Clés de répartition'!H73)*'Clés de répartition'!D157</f>
        <v>0</v>
      </c>
      <c r="S32" s="21">
        <f>('Clés de répartition'!D73-'Clés de répartition'!I73)*'Clés de répartition'!D157</f>
        <v>0</v>
      </c>
      <c r="T32" s="54">
        <f>(('Clés de répartition'!B73*'Auto - résumé'!D26-'Clés de répartition'!G73*'Auto - fixe'!D26)+('Clés de répartition'!C73*'TC - résumé'!D26-'Clés de répartition'!H73*'TC - fixe'!D26)+('Clés de répartition'!D73*'Vélo - résumé'!D26-'Clés de répartition'!I73*'Vélo - fixe'!D26))*'Clés de répartition'!D157</f>
        <v>0</v>
      </c>
      <c r="U32" s="54">
        <f>(('Clés de répartition'!B73*('Auto - résumé'!B26+'Auto - résumé'!C26)-'Clés de répartition'!G73*('Auto - fixe'!B26+'Auto - fixe'!C26))+('Clés de répartition'!C73*('TC - résumé'!B26+'TC - résumé'!C26)-'Clés de répartition'!H73*('TC - fixe'!B26+'TC - fixe'!C26))+('Clés de répartition'!D73*('Vélo - résumé'!B26+'Vélo - résumé'!C26)-'Clés de répartition'!I73*('Vélo - fixe'!B26+'Vélo - fixe'!C26)))*'Clés de répartition'!D157</f>
        <v>0</v>
      </c>
      <c r="V32" s="54">
        <f t="shared" si="1"/>
        <v>0</v>
      </c>
      <c r="W32" s="54">
        <f>(('Clés de répartition'!B73*('Auto - résumé'!F26)-'Clés de répartition'!G73*('Auto - fixe'!F26)))*'Clés de répartition'!D157</f>
        <v>0</v>
      </c>
      <c r="X32" s="54">
        <f>(('Clés de répartition'!B73*'Auto - résumé'!E26-'Clés de répartition'!G73*'Auto - fixe'!E26)+('Clés de répartition'!C73*'TC - résumé'!E26-'Clés de répartition'!H73*'TC - fixe'!E26)+('Clés de répartition'!D73*'Vélo - résumé'!E26-'Clés de répartition'!I73*'Vélo - fixe'!E26))*'Clés de répartition'!D157</f>
        <v>0</v>
      </c>
      <c r="Y32" s="54">
        <f>(('Clés de répartition'!B73*('Auto - résumé'!F26+'Auto - résumé'!G26+'Auto - résumé'!H26)-'Clés de répartition'!G73*('Auto - fixe'!F26+'Auto - fixe'!G26+'Auto - fixe'!H26))+('Clés de répartition'!C73*('TC - résumé'!F26+'TC - résumé'!G26)-'Clés de répartition'!H73*('TC - fixe'!F26+'TC - fixe'!G26))+('Clés de répartition'!D73*('Vélo - résumé'!F26+'Vélo - résumé'!G26)-'Clés de répartition'!I73*('Vélo - fixe'!F26+'Vélo - fixe'!G26)))*'Clés de répartition'!D157</f>
        <v>0</v>
      </c>
      <c r="Z32" s="54">
        <f t="shared" si="2"/>
        <v>0</v>
      </c>
      <c r="AA32" s="54">
        <f t="shared" si="3"/>
        <v>0</v>
      </c>
      <c r="AE32" s="293"/>
      <c r="AF32" s="293"/>
      <c r="AG32" s="293"/>
      <c r="AH32" s="293"/>
      <c r="AI32" s="293"/>
      <c r="AW32" s="597" t="s">
        <v>170</v>
      </c>
      <c r="AX32" s="54">
        <f>('Clés de répartition'!B73*'Auto - résumé'!F26)*'Clés de répartition'!D157</f>
        <v>27914744.635655612</v>
      </c>
      <c r="AY32" s="54">
        <f>'Clés de répartition'!G73*'Auto - fixe'!F26*'Clés de répartition'!D157</f>
        <v>27914744.635655612</v>
      </c>
      <c r="AZ32" s="491">
        <f t="shared" si="8"/>
        <v>0</v>
      </c>
    </row>
    <row r="33" spans="1:52">
      <c r="A33" s="597" t="s">
        <v>171</v>
      </c>
      <c r="B33" s="340">
        <v>0.229958848311419</v>
      </c>
      <c r="C33" s="340">
        <v>0.353790599536629</v>
      </c>
      <c r="D33" s="340">
        <v>0.27524207389146199</v>
      </c>
      <c r="E33" s="340">
        <v>0.14100847826049001</v>
      </c>
      <c r="F33" s="484">
        <v>1.0456508536031299</v>
      </c>
      <c r="G33" s="484">
        <v>29.990459794550201</v>
      </c>
      <c r="H33" s="484">
        <v>44.964550799689597</v>
      </c>
      <c r="I33" s="484">
        <v>16.681841435672499</v>
      </c>
      <c r="J33" s="484">
        <v>11.837735930822999</v>
      </c>
      <c r="K33" s="484">
        <v>19.428763637813098</v>
      </c>
      <c r="L33" s="484">
        <v>11.0924396344631</v>
      </c>
      <c r="M33" s="484">
        <v>4.59142421496077</v>
      </c>
      <c r="N33" s="484">
        <v>0.85770711224541896</v>
      </c>
      <c r="O33" s="484">
        <v>54.142601984648202</v>
      </c>
      <c r="P33" s="17">
        <v>4.8784424562626098E-2</v>
      </c>
      <c r="Q33" s="489">
        <f>('Clés de répartition'!B74-'Clés de répartition'!G74)*'Clés de répartition'!D158</f>
        <v>0</v>
      </c>
      <c r="R33" s="21">
        <f>('Clés de répartition'!C74-'Clés de répartition'!H74)*'Clés de répartition'!D158</f>
        <v>0</v>
      </c>
      <c r="S33" s="21">
        <f>('Clés de répartition'!D74-'Clés de répartition'!I74)*'Clés de répartition'!D158</f>
        <v>0</v>
      </c>
      <c r="T33" s="54">
        <f>(('Clés de répartition'!B74*'Auto - résumé'!D27-'Clés de répartition'!G74*'Auto - fixe'!D27)+('Clés de répartition'!C74*'TC - résumé'!D27-'Clés de répartition'!H74*'TC - fixe'!D27)+('Clés de répartition'!D74*'Vélo - résumé'!D27-'Clés de répartition'!I74*'Vélo - fixe'!D27))*'Clés de répartition'!D158</f>
        <v>0</v>
      </c>
      <c r="U33" s="54">
        <f>(('Clés de répartition'!B74*('Auto - résumé'!B27+'Auto - résumé'!C27)-'Clés de répartition'!G74*('Auto - fixe'!B27+'Auto - fixe'!C27))+('Clés de répartition'!C74*('TC - résumé'!B27+'TC - résumé'!C27)-'Clés de répartition'!H74*('TC - fixe'!B27+'TC - fixe'!C27))+('Clés de répartition'!D74*('Vélo - résumé'!B27+'Vélo - résumé'!C27)-'Clés de répartition'!I74*('Vélo - fixe'!B27+'Vélo - fixe'!C27)))*'Clés de répartition'!D158</f>
        <v>0</v>
      </c>
      <c r="V33" s="54">
        <f t="shared" si="1"/>
        <v>0</v>
      </c>
      <c r="W33" s="54">
        <f>(('Clés de répartition'!B74*('Auto - résumé'!F27)-'Clés de répartition'!G74*('Auto - fixe'!F27)))*'Clés de répartition'!D158</f>
        <v>0</v>
      </c>
      <c r="X33" s="54">
        <f>(('Clés de répartition'!B74*'Auto - résumé'!E27-'Clés de répartition'!G74*'Auto - fixe'!E27)+('Clés de répartition'!C74*'TC - résumé'!E27-'Clés de répartition'!H74*'TC - fixe'!E27)+('Clés de répartition'!D74*'Vélo - résumé'!E27-'Clés de répartition'!I74*'Vélo - fixe'!E27))*'Clés de répartition'!D158</f>
        <v>0</v>
      </c>
      <c r="Y33" s="54">
        <f>(('Clés de répartition'!B74*('Auto - résumé'!F27+'Auto - résumé'!G27+'Auto - résumé'!H27)-'Clés de répartition'!G74*('Auto - fixe'!F27+'Auto - fixe'!G27+'Auto - fixe'!H27))+('Clés de répartition'!C74*('TC - résumé'!F27+'TC - résumé'!G27)-'Clés de répartition'!H74*('TC - fixe'!F27+'TC - fixe'!G27))+('Clés de répartition'!D74*('Vélo - résumé'!F27+'Vélo - résumé'!G27)-'Clés de répartition'!I74*('Vélo - fixe'!F27+'Vélo - fixe'!G27)))*'Clés de répartition'!D158</f>
        <v>0</v>
      </c>
      <c r="Z33" s="54">
        <f t="shared" si="2"/>
        <v>0</v>
      </c>
      <c r="AA33" s="54">
        <f t="shared" si="3"/>
        <v>0</v>
      </c>
      <c r="AC33" s="174" t="s">
        <v>1084</v>
      </c>
      <c r="AE33" s="293"/>
      <c r="AF33" s="293"/>
      <c r="AG33" s="293"/>
      <c r="AH33" s="293"/>
      <c r="AI33" s="293"/>
      <c r="AW33" s="597" t="s">
        <v>171</v>
      </c>
      <c r="AX33" s="54">
        <f>('Clés de répartition'!B74*'Auto - résumé'!F27)*'Clés de répartition'!D158</f>
        <v>17727905.998409621</v>
      </c>
      <c r="AY33" s="54">
        <f>'Clés de répartition'!G74*'Auto - fixe'!F27*'Clés de répartition'!D158</f>
        <v>17727905.998409621</v>
      </c>
      <c r="AZ33" s="491">
        <f t="shared" si="8"/>
        <v>0</v>
      </c>
    </row>
    <row r="34" spans="1:52">
      <c r="A34" s="597" t="s">
        <v>172</v>
      </c>
      <c r="B34" s="340">
        <v>8.9469858798195398E-2</v>
      </c>
      <c r="C34" s="340">
        <v>0.38080926792371</v>
      </c>
      <c r="D34" s="340">
        <v>0.30875569451527901</v>
      </c>
      <c r="E34" s="340">
        <v>0.22096517876281499</v>
      </c>
      <c r="F34" s="484">
        <v>1.0090712061859799</v>
      </c>
      <c r="G34" s="484">
        <v>26.1751689458988</v>
      </c>
      <c r="H34" s="484">
        <v>27.334359211923001</v>
      </c>
      <c r="I34" s="484">
        <v>16.7120727187996</v>
      </c>
      <c r="J34" s="484">
        <v>17.023575941251401</v>
      </c>
      <c r="K34" s="484">
        <v>19.029585221984199</v>
      </c>
      <c r="L34" s="484">
        <v>5.3060223783354301</v>
      </c>
      <c r="M34" s="484">
        <v>4.3503578165846903</v>
      </c>
      <c r="N34" s="484">
        <v>1.2215463662333701</v>
      </c>
      <c r="O34" s="484">
        <v>40.322778919076697</v>
      </c>
      <c r="P34" s="17">
        <v>1.7905014328355E-2</v>
      </c>
      <c r="Q34" s="489">
        <f>('Clés de répartition'!B75-'Clés de répartition'!G75)*'Clés de répartition'!D159</f>
        <v>0</v>
      </c>
      <c r="R34" s="21">
        <f>('Clés de répartition'!C75-'Clés de répartition'!H75)*'Clés de répartition'!D159</f>
        <v>0</v>
      </c>
      <c r="S34" s="21">
        <f>('Clés de répartition'!D75-'Clés de répartition'!I75)*'Clés de répartition'!D159</f>
        <v>0</v>
      </c>
      <c r="T34" s="54">
        <f>(('Clés de répartition'!B75*'Auto - résumé'!D28-'Clés de répartition'!G75*'Auto - fixe'!D28)+('Clés de répartition'!C75*'TC - résumé'!D28-'Clés de répartition'!H75*'TC - fixe'!D28)+('Clés de répartition'!D75*'Vélo - résumé'!D28-'Clés de répartition'!I75*'Vélo - fixe'!D28))*'Clés de répartition'!D159</f>
        <v>0</v>
      </c>
      <c r="U34" s="54">
        <f>(('Clés de répartition'!B75*('Auto - résumé'!B28+'Auto - résumé'!C28)-'Clés de répartition'!G75*('Auto - fixe'!B28+'Auto - fixe'!C28))+('Clés de répartition'!C75*('TC - résumé'!B28+'TC - résumé'!C28)-'Clés de répartition'!H75*('TC - fixe'!B28+'TC - fixe'!C28))+('Clés de répartition'!D75*('Vélo - résumé'!B28+'Vélo - résumé'!C28)-'Clés de répartition'!I75*('Vélo - fixe'!B28+'Vélo - fixe'!C28)))*'Clés de répartition'!D159</f>
        <v>0</v>
      </c>
      <c r="V34" s="54">
        <f t="shared" si="1"/>
        <v>0</v>
      </c>
      <c r="W34" s="54">
        <f>(('Clés de répartition'!B75*('Auto - résumé'!F28)-'Clés de répartition'!G75*('Auto - fixe'!F28)))*'Clés de répartition'!D159</f>
        <v>0</v>
      </c>
      <c r="X34" s="54">
        <f>(('Clés de répartition'!B75*'Auto - résumé'!E28-'Clés de répartition'!G75*'Auto - fixe'!E28)+('Clés de répartition'!C75*'TC - résumé'!E28-'Clés de répartition'!H75*'TC - fixe'!E28)+('Clés de répartition'!D75*'Vélo - résumé'!E28-'Clés de répartition'!I75*'Vélo - fixe'!E28))*'Clés de répartition'!D159</f>
        <v>0</v>
      </c>
      <c r="Y34" s="54">
        <f>(('Clés de répartition'!B75*('Auto - résumé'!F28+'Auto - résumé'!G28+'Auto - résumé'!H28)-'Clés de répartition'!G75*('Auto - fixe'!F28+'Auto - fixe'!G28+'Auto - fixe'!H28))+('Clés de répartition'!C75*('TC - résumé'!F28+'TC - résumé'!G28)-'Clés de répartition'!H75*('TC - fixe'!F28+'TC - fixe'!G28))+('Clés de répartition'!D75*('Vélo - résumé'!F28+'Vélo - résumé'!G28)-'Clés de répartition'!I75*('Vélo - fixe'!F28+'Vélo - fixe'!G28)))*'Clés de répartition'!D159</f>
        <v>0</v>
      </c>
      <c r="Z34" s="54">
        <f t="shared" si="2"/>
        <v>0</v>
      </c>
      <c r="AA34" s="54">
        <f t="shared" si="3"/>
        <v>0</v>
      </c>
      <c r="AE34" s="293"/>
      <c r="AF34" s="293"/>
      <c r="AG34" s="293"/>
      <c r="AH34" s="293"/>
      <c r="AI34" s="293"/>
      <c r="AW34" s="597" t="s">
        <v>172</v>
      </c>
      <c r="AX34" s="54">
        <f>('Clés de répartition'!B75*'Auto - résumé'!F28)*'Clés de répartition'!D159</f>
        <v>2445827.5581146269</v>
      </c>
      <c r="AY34" s="54">
        <f>'Clés de répartition'!G75*'Auto - fixe'!F28*'Clés de répartition'!D159</f>
        <v>2445827.5581146269</v>
      </c>
      <c r="AZ34" s="491">
        <f t="shared" si="8"/>
        <v>0</v>
      </c>
    </row>
    <row r="35" spans="1:52">
      <c r="A35" s="597" t="s">
        <v>173</v>
      </c>
      <c r="B35" s="340">
        <v>0.469836335807785</v>
      </c>
      <c r="C35" s="340">
        <v>0.25971261845649501</v>
      </c>
      <c r="D35" s="340">
        <v>0.23235500273704099</v>
      </c>
      <c r="E35" s="340">
        <v>3.8096042998680399E-2</v>
      </c>
      <c r="F35" s="484">
        <v>1.09519000890549</v>
      </c>
      <c r="G35" s="484">
        <v>25.255268093561501</v>
      </c>
      <c r="H35" s="484">
        <v>60.369050202317901</v>
      </c>
      <c r="I35" s="484">
        <v>15.6303070195197</v>
      </c>
      <c r="J35" s="484">
        <v>17.924277980176299</v>
      </c>
      <c r="K35" s="484">
        <v>20.937704151054302</v>
      </c>
      <c r="L35" s="484">
        <v>18.0730134791403</v>
      </c>
      <c r="M35" s="484">
        <v>4.5833217373023398</v>
      </c>
      <c r="N35" s="484">
        <v>1.2948395172287499</v>
      </c>
      <c r="O35" s="484">
        <v>42.941345761109098</v>
      </c>
      <c r="P35" s="17">
        <v>2.2957840365960099E-2</v>
      </c>
      <c r="Q35" s="489">
        <f>('Clés de répartition'!B76-'Clés de répartition'!G76)*'Clés de répartition'!D160</f>
        <v>0</v>
      </c>
      <c r="R35" s="21">
        <f>('Clés de répartition'!C76-'Clés de répartition'!H76)*'Clés de répartition'!D160</f>
        <v>0</v>
      </c>
      <c r="S35" s="21">
        <f>('Clés de répartition'!D76-'Clés de répartition'!I76)*'Clés de répartition'!D160</f>
        <v>0</v>
      </c>
      <c r="T35" s="54">
        <f>(('Clés de répartition'!B76*'Auto - résumé'!D29-'Clés de répartition'!G76*'Auto - fixe'!D29)+('Clés de répartition'!C76*'TC - résumé'!D29-'Clés de répartition'!H76*'TC - fixe'!D29)+('Clés de répartition'!D76*'Vélo - résumé'!D29-'Clés de répartition'!I76*'Vélo - fixe'!D29))*'Clés de répartition'!D160</f>
        <v>0</v>
      </c>
      <c r="U35" s="54">
        <f>(('Clés de répartition'!B76*('Auto - résumé'!B29+'Auto - résumé'!C29)-'Clés de répartition'!G76*('Auto - fixe'!B29+'Auto - fixe'!C29))+('Clés de répartition'!C76*('TC - résumé'!B29+'TC - résumé'!C29)-'Clés de répartition'!H76*('TC - fixe'!B29+'TC - fixe'!C29))+('Clés de répartition'!D76*('Vélo - résumé'!B29+'Vélo - résumé'!C29)-'Clés de répartition'!I76*('Vélo - fixe'!B29+'Vélo - fixe'!C29)))*'Clés de répartition'!D160</f>
        <v>0</v>
      </c>
      <c r="V35" s="54">
        <f t="shared" si="1"/>
        <v>0</v>
      </c>
      <c r="W35" s="54">
        <f>(('Clés de répartition'!B76*('Auto - résumé'!F29)-'Clés de répartition'!G76*('Auto - fixe'!F29)))*'Clés de répartition'!D160</f>
        <v>0</v>
      </c>
      <c r="X35" s="54">
        <f>(('Clés de répartition'!B76*'Auto - résumé'!E29-'Clés de répartition'!G76*'Auto - fixe'!E29)+('Clés de répartition'!C76*'TC - résumé'!E29-'Clés de répartition'!H76*'TC - fixe'!E29)+('Clés de répartition'!D76*'Vélo - résumé'!E29-'Clés de répartition'!I76*'Vélo - fixe'!E29))*'Clés de répartition'!D160</f>
        <v>0</v>
      </c>
      <c r="Y35" s="54">
        <f>(('Clés de répartition'!B76*('Auto - résumé'!F29+'Auto - résumé'!G29+'Auto - résumé'!H29)-'Clés de répartition'!G76*('Auto - fixe'!F29+'Auto - fixe'!G29+'Auto - fixe'!H29))+('Clés de répartition'!C76*('TC - résumé'!F29+'TC - résumé'!G29)-'Clés de répartition'!H76*('TC - fixe'!F29+'TC - fixe'!G29))+('Clés de répartition'!D76*('Vélo - résumé'!F29+'Vélo - résumé'!G29)-'Clés de répartition'!I76*('Vélo - fixe'!F29+'Vélo - fixe'!G29)))*'Clés de répartition'!D160</f>
        <v>0</v>
      </c>
      <c r="Z35" s="54">
        <f t="shared" si="2"/>
        <v>0</v>
      </c>
      <c r="AA35" s="54">
        <f t="shared" si="3"/>
        <v>0</v>
      </c>
      <c r="AE35" s="293"/>
      <c r="AF35" s="293"/>
      <c r="AG35" s="293"/>
      <c r="AH35" s="293"/>
      <c r="AI35" s="293"/>
      <c r="AW35" s="597" t="s">
        <v>173</v>
      </c>
      <c r="AX35" s="54">
        <f>('Clés de répartition'!B76*'Auto - résumé'!F29)*'Clés de répartition'!D160</f>
        <v>24930325.066139907</v>
      </c>
      <c r="AY35" s="54">
        <f>'Clés de répartition'!G76*'Auto - fixe'!F29*'Clés de répartition'!D160</f>
        <v>24930325.066139907</v>
      </c>
      <c r="AZ35" s="491">
        <f t="shared" si="8"/>
        <v>0</v>
      </c>
    </row>
    <row r="36" spans="1:52">
      <c r="A36" s="597" t="s">
        <v>350</v>
      </c>
      <c r="B36" s="340">
        <v>8.6896030324292703E-2</v>
      </c>
      <c r="C36" s="340">
        <v>0.41810913674481698</v>
      </c>
      <c r="D36" s="340">
        <v>0.25866021720355697</v>
      </c>
      <c r="E36" s="340">
        <v>0.236334615727334</v>
      </c>
      <c r="F36" s="484">
        <v>1.0146676653712099</v>
      </c>
      <c r="G36" s="484">
        <v>29.0649255292522</v>
      </c>
      <c r="H36" s="484">
        <v>30.521538119862001</v>
      </c>
      <c r="I36" s="484">
        <v>17.0650148716147</v>
      </c>
      <c r="J36" s="484">
        <v>20.2578988646985</v>
      </c>
      <c r="K36" s="484">
        <v>21.305378816462401</v>
      </c>
      <c r="L36" s="484">
        <v>6.6509182097627004</v>
      </c>
      <c r="M36" s="484">
        <v>4.2313183027534498</v>
      </c>
      <c r="N36" s="484">
        <v>1.44742155184196</v>
      </c>
      <c r="O36" s="484">
        <v>45.821858948257102</v>
      </c>
      <c r="P36" s="17">
        <v>3.72297630646398E-2</v>
      </c>
      <c r="Q36" s="489">
        <f>('Clés de répartition'!B77-'Clés de répartition'!G77)*'Clés de répartition'!D161</f>
        <v>0</v>
      </c>
      <c r="R36" s="21">
        <f>('Clés de répartition'!C77-'Clés de répartition'!H77)*'Clés de répartition'!D161</f>
        <v>0</v>
      </c>
      <c r="S36" s="21">
        <f>('Clés de répartition'!D77-'Clés de répartition'!I77)*'Clés de répartition'!D161</f>
        <v>0</v>
      </c>
      <c r="T36" s="54">
        <f>(('Clés de répartition'!B77*'Auto - résumé'!D30-'Clés de répartition'!G77*'Auto - fixe'!D30)+('Clés de répartition'!C77*'TC - résumé'!D30-'Clés de répartition'!H77*'TC - fixe'!D30)+('Clés de répartition'!D77*'Vélo - résumé'!D30-'Clés de répartition'!I77*'Vélo - fixe'!D30))*'Clés de répartition'!D161</f>
        <v>0</v>
      </c>
      <c r="U36" s="54">
        <f>(('Clés de répartition'!B77*('Auto - résumé'!B30+'Auto - résumé'!C30)-'Clés de répartition'!G77*('Auto - fixe'!B30+'Auto - fixe'!C30))+('Clés de répartition'!C77*('TC - résumé'!B30+'TC - résumé'!C30)-'Clés de répartition'!H77*('TC - fixe'!B30+'TC - fixe'!C30))+('Clés de répartition'!D77*('Vélo - résumé'!B30+'Vélo - résumé'!C30)-'Clés de répartition'!I77*('Vélo - fixe'!B30+'Vélo - fixe'!C30)))*'Clés de répartition'!D161</f>
        <v>0</v>
      </c>
      <c r="V36" s="54">
        <f t="shared" si="1"/>
        <v>0</v>
      </c>
      <c r="W36" s="54">
        <f>(('Clés de répartition'!B77*('Auto - résumé'!F30)-'Clés de répartition'!G77*('Auto - fixe'!F30)))*'Clés de répartition'!D161</f>
        <v>0</v>
      </c>
      <c r="X36" s="54">
        <f>(('Clés de répartition'!B77*'Auto - résumé'!E30-'Clés de répartition'!G77*'Auto - fixe'!E30)+('Clés de répartition'!C77*'TC - résumé'!E30-'Clés de répartition'!H77*'TC - fixe'!E30)+('Clés de répartition'!D77*'Vélo - résumé'!E30-'Clés de répartition'!I77*'Vélo - fixe'!E30))*'Clés de répartition'!D161</f>
        <v>0</v>
      </c>
      <c r="Y36" s="54">
        <f>(('Clés de répartition'!B77*('Auto - résumé'!F30+'Auto - résumé'!G30+'Auto - résumé'!H30)-'Clés de répartition'!G77*('Auto - fixe'!F30+'Auto - fixe'!G30+'Auto - fixe'!H30))+('Clés de répartition'!C77*('TC - résumé'!F30+'TC - résumé'!G30)-'Clés de répartition'!H77*('TC - fixe'!F30+'TC - fixe'!G30))+('Clés de répartition'!D77*('Vélo - résumé'!F30+'Vélo - résumé'!G30)-'Clés de répartition'!I77*('Vélo - fixe'!F30+'Vélo - fixe'!G30)))*'Clés de répartition'!D161</f>
        <v>0</v>
      </c>
      <c r="Z36" s="54">
        <f t="shared" si="2"/>
        <v>0</v>
      </c>
      <c r="AA36" s="54">
        <f t="shared" si="3"/>
        <v>0</v>
      </c>
      <c r="AE36" s="293"/>
      <c r="AF36" s="293"/>
      <c r="AG36" s="293"/>
      <c r="AH36" s="293"/>
      <c r="AI36" s="293"/>
      <c r="AW36" s="597" t="s">
        <v>350</v>
      </c>
      <c r="AX36" s="54">
        <f>('Clés de répartition'!B77*'Auto - résumé'!F30)*'Clés de répartition'!D161</f>
        <v>13113901.371280989</v>
      </c>
      <c r="AY36" s="54">
        <f>'Clés de répartition'!G77*'Auto - fixe'!F30*'Clés de répartition'!D161</f>
        <v>13113901.371280989</v>
      </c>
      <c r="AZ36" s="491">
        <f t="shared" si="8"/>
        <v>0</v>
      </c>
    </row>
    <row r="37" spans="1:52">
      <c r="A37" s="597" t="s">
        <v>174</v>
      </c>
      <c r="B37" s="340">
        <v>0.460729807023319</v>
      </c>
      <c r="C37" s="340">
        <v>0.32703151761939597</v>
      </c>
      <c r="D37" s="340">
        <v>0.170083588408391</v>
      </c>
      <c r="E37" s="340">
        <v>4.2155086948894999E-2</v>
      </c>
      <c r="F37" s="484">
        <v>1.09210787165985</v>
      </c>
      <c r="G37" s="484">
        <v>27.054744007826798</v>
      </c>
      <c r="H37" s="484">
        <v>50.484525839987903</v>
      </c>
      <c r="I37" s="484">
        <v>13.7602035116832</v>
      </c>
      <c r="J37" s="484">
        <v>14.017185257222501</v>
      </c>
      <c r="K37" s="484">
        <v>20.853875806332201</v>
      </c>
      <c r="L37" s="484">
        <v>14.578756908241701</v>
      </c>
      <c r="M37" s="484">
        <v>3.8746399551305499</v>
      </c>
      <c r="N37" s="484">
        <v>1.0261234050710399</v>
      </c>
      <c r="O37" s="484">
        <v>50.145366961115002</v>
      </c>
      <c r="P37" s="17">
        <v>3.5907736614061797E-2</v>
      </c>
      <c r="Q37" s="489">
        <f>('Clés de répartition'!B78-'Clés de répartition'!G78)*'Clés de répartition'!D162</f>
        <v>0</v>
      </c>
      <c r="R37" s="21">
        <f>('Clés de répartition'!C78-'Clés de répartition'!H78)*'Clés de répartition'!D162</f>
        <v>0</v>
      </c>
      <c r="S37" s="21">
        <f>('Clés de répartition'!D78-'Clés de répartition'!I78)*'Clés de répartition'!D162</f>
        <v>0</v>
      </c>
      <c r="T37" s="54">
        <f>(('Clés de répartition'!B78*'Auto - résumé'!D31-'Clés de répartition'!G78*'Auto - fixe'!D31)+('Clés de répartition'!C78*'TC - résumé'!D31-'Clés de répartition'!H78*'TC - fixe'!D31)+('Clés de répartition'!D78*'Vélo - résumé'!D31-'Clés de répartition'!I78*'Vélo - fixe'!D31))*'Clés de répartition'!D162</f>
        <v>0</v>
      </c>
      <c r="U37" s="54">
        <f>(('Clés de répartition'!B78*('Auto - résumé'!B31+'Auto - résumé'!C31)-'Clés de répartition'!G78*('Auto - fixe'!B31+'Auto - fixe'!C31))+('Clés de répartition'!C78*('TC - résumé'!B31+'TC - résumé'!C31)-'Clés de répartition'!H78*('TC - fixe'!B31+'TC - fixe'!C31))+('Clés de répartition'!D78*('Vélo - résumé'!B31+'Vélo - résumé'!C31)-'Clés de répartition'!I78*('Vélo - fixe'!B31+'Vélo - fixe'!C31)))*'Clés de répartition'!D162</f>
        <v>0</v>
      </c>
      <c r="V37" s="54">
        <f t="shared" si="1"/>
        <v>0</v>
      </c>
      <c r="W37" s="54">
        <f>(('Clés de répartition'!B78*('Auto - résumé'!F31)-'Clés de répartition'!G78*('Auto - fixe'!F31)))*'Clés de répartition'!D162</f>
        <v>0</v>
      </c>
      <c r="X37" s="54">
        <f>(('Clés de répartition'!B78*'Auto - résumé'!E31-'Clés de répartition'!G78*'Auto - fixe'!E31)+('Clés de répartition'!C78*'TC - résumé'!E31-'Clés de répartition'!H78*'TC - fixe'!E31)+('Clés de répartition'!D78*'Vélo - résumé'!E31-'Clés de répartition'!I78*'Vélo - fixe'!E31))*'Clés de répartition'!D162</f>
        <v>0</v>
      </c>
      <c r="Y37" s="54">
        <f>(('Clés de répartition'!B78*('Auto - résumé'!F31+'Auto - résumé'!G31+'Auto - résumé'!H31)-'Clés de répartition'!G78*('Auto - fixe'!F31+'Auto - fixe'!G31+'Auto - fixe'!H31))+('Clés de répartition'!C78*('TC - résumé'!F31+'TC - résumé'!G31)-'Clés de répartition'!H78*('TC - fixe'!F31+'TC - fixe'!G31))+('Clés de répartition'!D78*('Vélo - résumé'!F31+'Vélo - résumé'!G31)-'Clés de répartition'!I78*('Vélo - fixe'!F31+'Vélo - fixe'!G31)))*'Clés de répartition'!D162</f>
        <v>0</v>
      </c>
      <c r="Z37" s="54">
        <f t="shared" si="2"/>
        <v>0</v>
      </c>
      <c r="AA37" s="54">
        <f t="shared" si="3"/>
        <v>0</v>
      </c>
      <c r="AE37" s="293"/>
      <c r="AF37" s="293"/>
      <c r="AG37" s="293"/>
      <c r="AH37" s="293"/>
      <c r="AI37" s="293"/>
      <c r="AW37" s="597" t="s">
        <v>174</v>
      </c>
      <c r="AX37" s="54">
        <f>('Clés de répartition'!B78*'Auto - résumé'!F31)*'Clés de répartition'!D162</f>
        <v>37772992.518679902</v>
      </c>
      <c r="AY37" s="54">
        <f>'Clés de répartition'!G78*'Auto - fixe'!F31*'Clés de répartition'!D162</f>
        <v>37772992.518679902</v>
      </c>
      <c r="AZ37" s="491">
        <f t="shared" si="8"/>
        <v>0</v>
      </c>
    </row>
    <row r="38" spans="1:52">
      <c r="A38" s="597" t="s">
        <v>175</v>
      </c>
      <c r="B38" s="340">
        <v>0.14570396325038901</v>
      </c>
      <c r="C38" s="340">
        <v>0.43821968018764701</v>
      </c>
      <c r="D38" s="340">
        <v>0.281785528551042</v>
      </c>
      <c r="E38" s="340">
        <v>0.13429082801092601</v>
      </c>
      <c r="F38" s="484">
        <v>1.0224799751823399</v>
      </c>
      <c r="G38" s="484">
        <v>26.9874582170136</v>
      </c>
      <c r="H38" s="484">
        <v>34.322457905043699</v>
      </c>
      <c r="I38" s="484">
        <v>18.587359097161801</v>
      </c>
      <c r="J38" s="484">
        <v>16.491804247280999</v>
      </c>
      <c r="K38" s="484">
        <v>18.898823990120999</v>
      </c>
      <c r="L38" s="484">
        <v>7.6939809928331799</v>
      </c>
      <c r="M38" s="484">
        <v>4.8901118941001904</v>
      </c>
      <c r="N38" s="484">
        <v>1.18373370081353</v>
      </c>
      <c r="O38" s="484">
        <v>47.786529341386398</v>
      </c>
      <c r="P38" s="17">
        <v>7.7565086143911194E-2</v>
      </c>
      <c r="Q38" s="489">
        <f>('Clés de répartition'!B79-'Clés de répartition'!G79)*'Clés de répartition'!D163</f>
        <v>0</v>
      </c>
      <c r="R38" s="21">
        <f>('Clés de répartition'!C79-'Clés de répartition'!H79)*'Clés de répartition'!D163</f>
        <v>0</v>
      </c>
      <c r="S38" s="21">
        <f>('Clés de répartition'!D79-'Clés de répartition'!I79)*'Clés de répartition'!D163</f>
        <v>0</v>
      </c>
      <c r="T38" s="54">
        <f>(('Clés de répartition'!B79*'Auto - résumé'!D32-'Clés de répartition'!G79*'Auto - fixe'!D32)+('Clés de répartition'!C79*'TC - résumé'!D32-'Clés de répartition'!H79*'TC - fixe'!D32)+('Clés de répartition'!D79*'Vélo - résumé'!D32-'Clés de répartition'!I79*'Vélo - fixe'!D32))*'Clés de répartition'!D163</f>
        <v>0</v>
      </c>
      <c r="U38" s="54">
        <f>(('Clés de répartition'!B79*('Auto - résumé'!B32+'Auto - résumé'!C32)-'Clés de répartition'!G79*('Auto - fixe'!B32+'Auto - fixe'!C32))+('Clés de répartition'!C79*('TC - résumé'!B32+'TC - résumé'!C32)-'Clés de répartition'!H79*('TC - fixe'!B32+'TC - fixe'!C32))+('Clés de répartition'!D79*('Vélo - résumé'!B32+'Vélo - résumé'!C32)-'Clés de répartition'!I79*('Vélo - fixe'!B32+'Vélo - fixe'!C32)))*'Clés de répartition'!D163</f>
        <v>0</v>
      </c>
      <c r="V38" s="54">
        <f t="shared" si="1"/>
        <v>0</v>
      </c>
      <c r="W38" s="54">
        <f>(('Clés de répartition'!B79*('Auto - résumé'!F32)-'Clés de répartition'!G79*('Auto - fixe'!F32)))*'Clés de répartition'!D163</f>
        <v>0</v>
      </c>
      <c r="X38" s="54">
        <f>(('Clés de répartition'!B79*'Auto - résumé'!E32-'Clés de répartition'!G79*'Auto - fixe'!E32)+('Clés de répartition'!C79*'TC - résumé'!E32-'Clés de répartition'!H79*'TC - fixe'!E32)+('Clés de répartition'!D79*'Vélo - résumé'!E32-'Clés de répartition'!I79*'Vélo - fixe'!E32))*'Clés de répartition'!D163</f>
        <v>0</v>
      </c>
      <c r="Y38" s="54">
        <f>(('Clés de répartition'!B79*('Auto - résumé'!F32+'Auto - résumé'!G32+'Auto - résumé'!H32)-'Clés de répartition'!G79*('Auto - fixe'!F32+'Auto - fixe'!G32+'Auto - fixe'!H32))+('Clés de répartition'!C79*('TC - résumé'!F32+'TC - résumé'!G32)-'Clés de répartition'!H79*('TC - fixe'!F32+'TC - fixe'!G32))+('Clés de répartition'!D79*('Vélo - résumé'!F32+'Vélo - résumé'!G32)-'Clés de répartition'!I79*('Vélo - fixe'!F32+'Vélo - fixe'!G32)))*'Clés de répartition'!D163</f>
        <v>0</v>
      </c>
      <c r="Z38" s="54">
        <f t="shared" si="2"/>
        <v>0</v>
      </c>
      <c r="AA38" s="54">
        <f t="shared" si="3"/>
        <v>0</v>
      </c>
      <c r="AE38" s="293"/>
      <c r="AF38" s="293"/>
      <c r="AG38" s="293"/>
      <c r="AH38" s="293"/>
      <c r="AI38" s="293"/>
      <c r="AW38" s="597" t="s">
        <v>175</v>
      </c>
      <c r="AX38" s="54">
        <f>('Clés de répartition'!B79*'Auto - résumé'!F32)*'Clés de répartition'!D163</f>
        <v>23228440.255723856</v>
      </c>
      <c r="AY38" s="54">
        <f>'Clés de répartition'!G79*'Auto - fixe'!F32*'Clés de répartition'!D163</f>
        <v>23228440.255723856</v>
      </c>
      <c r="AZ38" s="491">
        <f t="shared" si="8"/>
        <v>0</v>
      </c>
    </row>
    <row r="39" spans="1:52">
      <c r="A39" s="597" t="s">
        <v>176</v>
      </c>
      <c r="B39" s="340">
        <v>0.30680566502802697</v>
      </c>
      <c r="C39" s="340">
        <v>0.37845637133953097</v>
      </c>
      <c r="D39" s="340">
        <v>0.240205590343088</v>
      </c>
      <c r="E39" s="340">
        <v>7.4532373289357995E-2</v>
      </c>
      <c r="F39" s="484">
        <v>1.0797130086759099</v>
      </c>
      <c r="G39" s="484">
        <v>21.485262373806201</v>
      </c>
      <c r="H39" s="484">
        <v>40.6020336368085</v>
      </c>
      <c r="I39" s="484">
        <v>16.558485147462498</v>
      </c>
      <c r="J39" s="484">
        <v>16.350964428173299</v>
      </c>
      <c r="K39" s="484">
        <v>16.2499938224143</v>
      </c>
      <c r="L39" s="484">
        <v>10.5388296870648</v>
      </c>
      <c r="M39" s="484">
        <v>4.4150093674050801</v>
      </c>
      <c r="N39" s="484">
        <v>1.1611414676793601</v>
      </c>
      <c r="O39" s="484">
        <v>35.773997214470498</v>
      </c>
      <c r="P39" s="17">
        <v>6.040112417718E-2</v>
      </c>
      <c r="Q39" s="489">
        <f>('Clés de répartition'!B80-'Clés de répartition'!G80)*'Clés de répartition'!D164</f>
        <v>0</v>
      </c>
      <c r="R39" s="21">
        <f>('Clés de répartition'!C80-'Clés de répartition'!H80)*'Clés de répartition'!D164</f>
        <v>0</v>
      </c>
      <c r="S39" s="21">
        <f>('Clés de répartition'!D80-'Clés de répartition'!I80)*'Clés de répartition'!D164</f>
        <v>0</v>
      </c>
      <c r="T39" s="54">
        <f>(('Clés de répartition'!B80*'Auto - résumé'!D33-'Clés de répartition'!G80*'Auto - fixe'!D33)+('Clés de répartition'!C80*'TC - résumé'!D33-'Clés de répartition'!H80*'TC - fixe'!D33)+('Clés de répartition'!D80*'Vélo - résumé'!D33-'Clés de répartition'!I80*'Vélo - fixe'!D33))*'Clés de répartition'!D164</f>
        <v>0</v>
      </c>
      <c r="U39" s="54">
        <f>(('Clés de répartition'!B80*('Auto - résumé'!B33+'Auto - résumé'!C33)-'Clés de répartition'!G80*('Auto - fixe'!B33+'Auto - fixe'!C33))+('Clés de répartition'!C80*('TC - résumé'!B33+'TC - résumé'!C33)-'Clés de répartition'!H80*('TC - fixe'!B33+'TC - fixe'!C33))+('Clés de répartition'!D80*('Vélo - résumé'!B33+'Vélo - résumé'!C33)-'Clés de répartition'!I80*('Vélo - fixe'!B33+'Vélo - fixe'!C33)))*'Clés de répartition'!D164</f>
        <v>0</v>
      </c>
      <c r="V39" s="54">
        <f t="shared" si="1"/>
        <v>0</v>
      </c>
      <c r="W39" s="54">
        <f>(('Clés de répartition'!B80*('Auto - résumé'!F33)-'Clés de répartition'!G80*('Auto - fixe'!F33)))*'Clés de répartition'!D164</f>
        <v>0</v>
      </c>
      <c r="X39" s="54">
        <f>(('Clés de répartition'!B80*'Auto - résumé'!E33-'Clés de répartition'!G80*'Auto - fixe'!E33)+('Clés de répartition'!C80*'TC - résumé'!E33-'Clés de répartition'!H80*'TC - fixe'!E33)+('Clés de répartition'!D80*'Vélo - résumé'!E33-'Clés de répartition'!I80*'Vélo - fixe'!E33))*'Clés de répartition'!D164</f>
        <v>0</v>
      </c>
      <c r="Y39" s="54">
        <f>(('Clés de répartition'!B80*('Auto - résumé'!F33+'Auto - résumé'!G33+'Auto - résumé'!H33)-'Clés de répartition'!G80*('Auto - fixe'!F33+'Auto - fixe'!G33+'Auto - fixe'!H33))+('Clés de répartition'!C80*('TC - résumé'!F33+'TC - résumé'!G33)-'Clés de répartition'!H80*('TC - fixe'!F33+'TC - fixe'!G33))+('Clés de répartition'!D80*('Vélo - résumé'!F33+'Vélo - résumé'!G33)-'Clés de répartition'!I80*('Vélo - fixe'!F33+'Vélo - fixe'!G33)))*'Clés de répartition'!D164</f>
        <v>0</v>
      </c>
      <c r="Z39" s="54">
        <f t="shared" si="2"/>
        <v>0</v>
      </c>
      <c r="AA39" s="54">
        <f t="shared" si="3"/>
        <v>0</v>
      </c>
      <c r="AE39" s="293"/>
      <c r="AF39" s="293"/>
      <c r="AG39" s="293"/>
      <c r="AH39" s="293"/>
      <c r="AI39" s="293"/>
      <c r="AW39" s="597" t="s">
        <v>176</v>
      </c>
      <c r="AX39" s="54">
        <f>('Clés de répartition'!B80*'Auto - résumé'!F33)*'Clés de répartition'!D164</f>
        <v>21480863.718574025</v>
      </c>
      <c r="AY39" s="54">
        <f>'Clés de répartition'!G80*'Auto - fixe'!F33*'Clés de répartition'!D164</f>
        <v>21480863.718574025</v>
      </c>
      <c r="AZ39" s="491">
        <f t="shared" si="8"/>
        <v>0</v>
      </c>
    </row>
    <row r="40" spans="1:52">
      <c r="A40" s="597" t="s">
        <v>177</v>
      </c>
      <c r="B40" s="340">
        <v>0.28894063407362902</v>
      </c>
      <c r="C40" s="340">
        <v>0.34275726156767999</v>
      </c>
      <c r="D40" s="340">
        <v>0.30186937374736</v>
      </c>
      <c r="E40" s="340">
        <v>6.6432730611331495E-2</v>
      </c>
      <c r="F40" s="484">
        <v>1.0455048309708601</v>
      </c>
      <c r="G40" s="484">
        <v>27.030742862864098</v>
      </c>
      <c r="H40" s="484">
        <v>40.888842209251102</v>
      </c>
      <c r="I40" s="484">
        <v>15.693132056121099</v>
      </c>
      <c r="J40" s="484">
        <v>13.066452500095499</v>
      </c>
      <c r="K40" s="484">
        <v>18.212930542357299</v>
      </c>
      <c r="L40" s="484">
        <v>9.1227830688770908</v>
      </c>
      <c r="M40" s="484">
        <v>4.0614070630564001</v>
      </c>
      <c r="N40" s="484">
        <v>0.94923564689254702</v>
      </c>
      <c r="O40" s="484">
        <v>52.273885538835501</v>
      </c>
      <c r="P40" s="17">
        <v>4.7918673095210799E-2</v>
      </c>
      <c r="Q40" s="489">
        <f>('Clés de répartition'!B81-'Clés de répartition'!G81)*'Clés de répartition'!D165</f>
        <v>0</v>
      </c>
      <c r="R40" s="21">
        <f>('Clés de répartition'!C81-'Clés de répartition'!H81)*'Clés de répartition'!D165</f>
        <v>0</v>
      </c>
      <c r="S40" s="21">
        <f>('Clés de répartition'!D81-'Clés de répartition'!I81)*'Clés de répartition'!D165</f>
        <v>0</v>
      </c>
      <c r="T40" s="54">
        <f>(('Clés de répartition'!B81*'Auto - résumé'!D34-'Clés de répartition'!G81*'Auto - fixe'!D34)+('Clés de répartition'!C81*'TC - résumé'!D34-'Clés de répartition'!H81*'TC - fixe'!D34)+('Clés de répartition'!D81*'Vélo - résumé'!D34-'Clés de répartition'!I81*'Vélo - fixe'!D34))*'Clés de répartition'!D165</f>
        <v>0</v>
      </c>
      <c r="U40" s="54">
        <f>(('Clés de répartition'!B81*('Auto - résumé'!B34+'Auto - résumé'!C34)-'Clés de répartition'!G81*('Auto - fixe'!B34+'Auto - fixe'!C34))+('Clés de répartition'!C81*('TC - résumé'!B34+'TC - résumé'!C34)-'Clés de répartition'!H81*('TC - fixe'!B34+'TC - fixe'!C34))+('Clés de répartition'!D81*('Vélo - résumé'!B34+'Vélo - résumé'!C34)-'Clés de répartition'!I81*('Vélo - fixe'!B34+'Vélo - fixe'!C34)))*'Clés de répartition'!D165</f>
        <v>0</v>
      </c>
      <c r="V40" s="54">
        <f t="shared" si="1"/>
        <v>0</v>
      </c>
      <c r="W40" s="54">
        <f>(('Clés de répartition'!B81*('Auto - résumé'!F34)-'Clés de répartition'!G81*('Auto - fixe'!F34)))*'Clés de répartition'!D165</f>
        <v>0</v>
      </c>
      <c r="X40" s="54">
        <f>(('Clés de répartition'!B81*'Auto - résumé'!E34-'Clés de répartition'!G81*'Auto - fixe'!E34)+('Clés de répartition'!C81*'TC - résumé'!E34-'Clés de répartition'!H81*'TC - fixe'!E34)+('Clés de répartition'!D81*'Vélo - résumé'!E34-'Clés de répartition'!I81*'Vélo - fixe'!E34))*'Clés de répartition'!D165</f>
        <v>0</v>
      </c>
      <c r="Y40" s="54">
        <f>(('Clés de répartition'!B81*('Auto - résumé'!F34+'Auto - résumé'!G34+'Auto - résumé'!H34)-'Clés de répartition'!G81*('Auto - fixe'!F34+'Auto - fixe'!G34+'Auto - fixe'!H34))+('Clés de répartition'!C81*('TC - résumé'!F34+'TC - résumé'!G34)-'Clés de répartition'!H81*('TC - fixe'!F34+'TC - fixe'!G34))+('Clés de répartition'!D81*('Vélo - résumé'!F34+'Vélo - résumé'!G34)-'Clés de répartition'!I81*('Vélo - fixe'!F34+'Vélo - fixe'!G34)))*'Clés de répartition'!D165</f>
        <v>0</v>
      </c>
      <c r="Z40" s="54">
        <f t="shared" si="2"/>
        <v>0</v>
      </c>
      <c r="AA40" s="54">
        <f t="shared" si="3"/>
        <v>0</v>
      </c>
      <c r="AE40" s="293"/>
      <c r="AF40" s="293"/>
      <c r="AG40" s="293"/>
      <c r="AH40" s="293"/>
      <c r="AI40" s="293"/>
      <c r="AW40" s="597" t="s">
        <v>177</v>
      </c>
      <c r="AX40" s="54">
        <f>('Clés de répartition'!B81*'Auto - résumé'!F34)*'Clés de répartition'!D165</f>
        <v>17617284.341046415</v>
      </c>
      <c r="AY40" s="54">
        <f>'Clés de répartition'!G81*'Auto - fixe'!F34*'Clés de répartition'!D165</f>
        <v>17617284.341046415</v>
      </c>
      <c r="AZ40" s="491">
        <f t="shared" si="8"/>
        <v>0</v>
      </c>
    </row>
    <row r="41" spans="1:52">
      <c r="A41" s="597" t="s">
        <v>351</v>
      </c>
      <c r="B41" s="340">
        <v>0.176153591452095</v>
      </c>
      <c r="C41" s="340">
        <v>0.45402822267114501</v>
      </c>
      <c r="D41" s="340">
        <v>0.17208965329940301</v>
      </c>
      <c r="E41" s="340">
        <v>0.19772853257735501</v>
      </c>
      <c r="F41" s="484">
        <v>1.0429268444889199</v>
      </c>
      <c r="G41" s="484">
        <v>23.645407668669499</v>
      </c>
      <c r="H41" s="484">
        <v>31.439089191925699</v>
      </c>
      <c r="I41" s="484">
        <v>15.6791186685446</v>
      </c>
      <c r="J41" s="484">
        <v>17.673730259004898</v>
      </c>
      <c r="K41" s="484">
        <v>20.184235192244699</v>
      </c>
      <c r="L41" s="484">
        <v>8.0439496651472204</v>
      </c>
      <c r="M41" s="484">
        <v>3.9603062511687699</v>
      </c>
      <c r="N41" s="484">
        <v>1.23108519379502</v>
      </c>
      <c r="O41" s="484">
        <v>40.745409147069097</v>
      </c>
      <c r="P41" s="17">
        <v>3.5485595052464403E-2</v>
      </c>
      <c r="Q41" s="489">
        <f>('Clés de répartition'!B82-'Clés de répartition'!G82)*'Clés de répartition'!D166</f>
        <v>0</v>
      </c>
      <c r="R41" s="21">
        <f>('Clés de répartition'!C82-'Clés de répartition'!H82)*'Clés de répartition'!D166</f>
        <v>0</v>
      </c>
      <c r="S41" s="21">
        <f>('Clés de répartition'!D82-'Clés de répartition'!I82)*'Clés de répartition'!D166</f>
        <v>0</v>
      </c>
      <c r="T41" s="54">
        <f>(('Clés de répartition'!B82*'Auto - résumé'!D35-'Clés de répartition'!G82*'Auto - fixe'!D35)+('Clés de répartition'!C82*'TC - résumé'!D35-'Clés de répartition'!H82*'TC - fixe'!D35)+('Clés de répartition'!D82*'Vélo - résumé'!D35-'Clés de répartition'!I82*'Vélo - fixe'!D35))*'Clés de répartition'!D166</f>
        <v>0</v>
      </c>
      <c r="U41" s="54">
        <f>(('Clés de répartition'!B82*('Auto - résumé'!B35+'Auto - résumé'!C35)-'Clés de répartition'!G82*('Auto - fixe'!B35+'Auto - fixe'!C35))+('Clés de répartition'!C82*('TC - résumé'!B35+'TC - résumé'!C35)-'Clés de répartition'!H82*('TC - fixe'!B35+'TC - fixe'!C35))+('Clés de répartition'!D82*('Vélo - résumé'!B35+'Vélo - résumé'!C35)-'Clés de répartition'!I82*('Vélo - fixe'!B35+'Vélo - fixe'!C35)))*'Clés de répartition'!D166</f>
        <v>0</v>
      </c>
      <c r="V41" s="54">
        <f t="shared" si="1"/>
        <v>0</v>
      </c>
      <c r="W41" s="54">
        <f>(('Clés de répartition'!B82*('Auto - résumé'!F35)-'Clés de répartition'!G82*('Auto - fixe'!F35)))*'Clés de répartition'!D166</f>
        <v>0</v>
      </c>
      <c r="X41" s="54">
        <f>(('Clés de répartition'!B82*'Auto - résumé'!E35-'Clés de répartition'!G82*'Auto - fixe'!E35)+('Clés de répartition'!C82*'TC - résumé'!E35-'Clés de répartition'!H82*'TC - fixe'!E35)+('Clés de répartition'!D82*'Vélo - résumé'!E35-'Clés de répartition'!I82*'Vélo - fixe'!E35))*'Clés de répartition'!D166</f>
        <v>0</v>
      </c>
      <c r="Y41" s="54">
        <f>(('Clés de répartition'!B82*('Auto - résumé'!F35+'Auto - résumé'!G35+'Auto - résumé'!H35)-'Clés de répartition'!G82*('Auto - fixe'!F35+'Auto - fixe'!G35+'Auto - fixe'!H35))+('Clés de répartition'!C82*('TC - résumé'!F35+'TC - résumé'!G35)-'Clés de répartition'!H82*('TC - fixe'!F35+'TC - fixe'!G35))+('Clés de répartition'!D82*('Vélo - résumé'!F35+'Vélo - résumé'!G35)-'Clés de répartition'!I82*('Vélo - fixe'!F35+'Vélo - fixe'!G35)))*'Clés de répartition'!D166</f>
        <v>0</v>
      </c>
      <c r="Z41" s="54">
        <f t="shared" si="2"/>
        <v>0</v>
      </c>
      <c r="AA41" s="54">
        <f t="shared" si="3"/>
        <v>0</v>
      </c>
      <c r="AE41" s="293"/>
      <c r="AF41" s="293"/>
      <c r="AG41" s="293"/>
      <c r="AH41" s="293"/>
      <c r="AI41" s="293"/>
      <c r="AW41" s="597" t="s">
        <v>351</v>
      </c>
      <c r="AX41" s="54">
        <f>('Clés de répartition'!B82*'Auto - résumé'!F35)*'Clés de répartition'!D166</f>
        <v>14414851.180708015</v>
      </c>
      <c r="AY41" s="54">
        <f>'Clés de répartition'!G82*'Auto - fixe'!F35*'Clés de répartition'!D166</f>
        <v>14414851.180708015</v>
      </c>
      <c r="AZ41" s="491">
        <f t="shared" si="8"/>
        <v>0</v>
      </c>
    </row>
    <row r="42" spans="1:52">
      <c r="A42" s="597" t="s">
        <v>856</v>
      </c>
      <c r="B42" s="340">
        <v>0.27257215015661201</v>
      </c>
      <c r="C42" s="340">
        <v>0.47570419631886801</v>
      </c>
      <c r="D42" s="340">
        <v>0.139704497633762</v>
      </c>
      <c r="E42" s="340">
        <v>0.11201915589075701</v>
      </c>
      <c r="F42" s="484">
        <v>1.1062324755043</v>
      </c>
      <c r="G42" s="484">
        <v>22.2391273293578</v>
      </c>
      <c r="H42" s="484">
        <v>36.713007275722902</v>
      </c>
      <c r="I42" s="484">
        <v>17.891410500928099</v>
      </c>
      <c r="J42" s="484">
        <v>14.182995776660499</v>
      </c>
      <c r="K42" s="484">
        <v>17.654996606156299</v>
      </c>
      <c r="L42" s="484">
        <v>9.5728301929969</v>
      </c>
      <c r="M42" s="484">
        <v>4.7563081894706603</v>
      </c>
      <c r="N42" s="484">
        <v>1.02748623836537</v>
      </c>
      <c r="O42" s="484">
        <v>38.665325001377198</v>
      </c>
      <c r="P42" s="17">
        <v>2.06709011210836E-2</v>
      </c>
      <c r="Q42" s="489">
        <f>('Clés de répartition'!B83-'Clés de répartition'!G83)*'Clés de répartition'!D167</f>
        <v>0</v>
      </c>
      <c r="R42" s="21">
        <f>('Clés de répartition'!C83-'Clés de répartition'!H83)*'Clés de répartition'!D167</f>
        <v>0</v>
      </c>
      <c r="S42" s="21">
        <f>('Clés de répartition'!D83-'Clés de répartition'!I83)*'Clés de répartition'!D167</f>
        <v>0</v>
      </c>
      <c r="T42" s="54">
        <f>(('Clés de répartition'!B83*'Auto - résumé'!D36-'Clés de répartition'!G83*'Auto - fixe'!D36)+('Clés de répartition'!C83*'TC - résumé'!D36-'Clés de répartition'!H83*'TC - fixe'!D36)+('Clés de répartition'!D83*'Vélo - résumé'!D36-'Clés de répartition'!I83*'Vélo - fixe'!D36))*'Clés de répartition'!D167</f>
        <v>0</v>
      </c>
      <c r="U42" s="54">
        <f>(('Clés de répartition'!B83*('Auto - résumé'!B36+'Auto - résumé'!C36)-'Clés de répartition'!G83*('Auto - fixe'!B36+'Auto - fixe'!C36))+('Clés de répartition'!C83*('TC - résumé'!B36+'TC - résumé'!C36)-'Clés de répartition'!H83*('TC - fixe'!B36+'TC - fixe'!C36))+('Clés de répartition'!D83*('Vélo - résumé'!B36+'Vélo - résumé'!C36)-'Clés de répartition'!I83*('Vélo - fixe'!B36+'Vélo - fixe'!C36)))*'Clés de répartition'!D167</f>
        <v>0</v>
      </c>
      <c r="V42" s="54">
        <f t="shared" si="1"/>
        <v>0</v>
      </c>
      <c r="W42" s="54">
        <f>(('Clés de répartition'!B83*('Auto - résumé'!F36)-'Clés de répartition'!G83*('Auto - fixe'!F36)))*'Clés de répartition'!D167</f>
        <v>0</v>
      </c>
      <c r="X42" s="54">
        <f>(('Clés de répartition'!B83*'Auto - résumé'!E36-'Clés de répartition'!G83*'Auto - fixe'!E36)+('Clés de répartition'!C83*'TC - résumé'!E36-'Clés de répartition'!H83*'TC - fixe'!E36)+('Clés de répartition'!D83*'Vélo - résumé'!E36-'Clés de répartition'!I83*'Vélo - fixe'!E36))*'Clés de répartition'!D167</f>
        <v>0</v>
      </c>
      <c r="Y42" s="54">
        <f>(('Clés de répartition'!B83*('Auto - résumé'!F36+'Auto - résumé'!G36+'Auto - résumé'!H36)-'Clés de répartition'!G83*('Auto - fixe'!F36+'Auto - fixe'!G36+'Auto - fixe'!H36))+('Clés de répartition'!C83*('TC - résumé'!F36+'TC - résumé'!G36)-'Clés de répartition'!H83*('TC - fixe'!F36+'TC - fixe'!G36))+('Clés de répartition'!D83*('Vélo - résumé'!F36+'Vélo - résumé'!G36)-'Clés de répartition'!I83*('Vélo - fixe'!F36+'Vélo - fixe'!G36)))*'Clés de répartition'!D167</f>
        <v>0</v>
      </c>
      <c r="Z42" s="54">
        <f t="shared" si="2"/>
        <v>0</v>
      </c>
      <c r="AA42" s="54">
        <f t="shared" si="3"/>
        <v>0</v>
      </c>
      <c r="AE42" s="293"/>
      <c r="AF42" s="293"/>
      <c r="AG42" s="293"/>
      <c r="AH42" s="293"/>
      <c r="AI42" s="293"/>
      <c r="AW42" s="597" t="s">
        <v>856</v>
      </c>
      <c r="AX42" s="54">
        <f>('Clés de répartition'!B83*'Auto - résumé'!F36)*'Clés de répartition'!D167</f>
        <v>13936204.853413712</v>
      </c>
      <c r="AY42" s="54">
        <f>'Clés de répartition'!G83*'Auto - fixe'!F36*'Clés de répartition'!D167</f>
        <v>13936204.853413712</v>
      </c>
      <c r="AZ42" s="491">
        <f t="shared" si="8"/>
        <v>0</v>
      </c>
    </row>
    <row r="43" spans="1:52">
      <c r="A43" s="597" t="s">
        <v>178</v>
      </c>
      <c r="B43" s="340">
        <v>0.12650926061795101</v>
      </c>
      <c r="C43" s="340">
        <v>0.42199257186252298</v>
      </c>
      <c r="D43" s="340">
        <v>0.204251272856313</v>
      </c>
      <c r="E43" s="340">
        <v>0.24724689466321001</v>
      </c>
      <c r="F43" s="484">
        <v>1.0297760006816501</v>
      </c>
      <c r="G43" s="484">
        <v>25.353146531606299</v>
      </c>
      <c r="H43" s="484">
        <v>27.911504177588</v>
      </c>
      <c r="I43" s="484">
        <v>15.661640236249401</v>
      </c>
      <c r="J43" s="484">
        <v>15.983360091648199</v>
      </c>
      <c r="K43" s="484">
        <v>20.4270163172318</v>
      </c>
      <c r="L43" s="484">
        <v>6.5514524582033404</v>
      </c>
      <c r="M43" s="484">
        <v>3.62291603756979</v>
      </c>
      <c r="N43" s="484">
        <v>1.1225284715957899</v>
      </c>
      <c r="O43" s="484">
        <v>42.120502017126</v>
      </c>
      <c r="P43" s="17">
        <v>4.45019259014909E-2</v>
      </c>
      <c r="Q43" s="489">
        <f>('Clés de répartition'!B84-'Clés de répartition'!G84)*'Clés de répartition'!D168</f>
        <v>0</v>
      </c>
      <c r="R43" s="21">
        <f>('Clés de répartition'!C84-'Clés de répartition'!H84)*'Clés de répartition'!D168</f>
        <v>0</v>
      </c>
      <c r="S43" s="21">
        <f>('Clés de répartition'!D84-'Clés de répartition'!I84)*'Clés de répartition'!D168</f>
        <v>0</v>
      </c>
      <c r="T43" s="54">
        <f>(('Clés de répartition'!B84*'Auto - résumé'!D37-'Clés de répartition'!G84*'Auto - fixe'!D37)+('Clés de répartition'!C84*'TC - résumé'!D37-'Clés de répartition'!H84*'TC - fixe'!D37)+('Clés de répartition'!D84*'Vélo - résumé'!D37-'Clés de répartition'!I84*'Vélo - fixe'!D37))*'Clés de répartition'!D168</f>
        <v>0</v>
      </c>
      <c r="U43" s="54">
        <f>(('Clés de répartition'!B84*('Auto - résumé'!B37+'Auto - résumé'!C37)-'Clés de répartition'!G84*('Auto - fixe'!B37+'Auto - fixe'!C37))+('Clés de répartition'!C84*('TC - résumé'!B37+'TC - résumé'!C37)-'Clés de répartition'!H84*('TC - fixe'!B37+'TC - fixe'!C37))+('Clés de répartition'!D84*('Vélo - résumé'!B37+'Vélo - résumé'!C37)-'Clés de répartition'!I84*('Vélo - fixe'!B37+'Vélo - fixe'!C37)))*'Clés de répartition'!D168</f>
        <v>0</v>
      </c>
      <c r="V43" s="54">
        <f t="shared" si="1"/>
        <v>0</v>
      </c>
      <c r="W43" s="54">
        <f>(('Clés de répartition'!B84*('Auto - résumé'!F37)-'Clés de répartition'!G84*('Auto - fixe'!F37)))*'Clés de répartition'!D168</f>
        <v>0</v>
      </c>
      <c r="X43" s="54">
        <f>(('Clés de répartition'!B84*'Auto - résumé'!E37-'Clés de répartition'!G84*'Auto - fixe'!E37)+('Clés de répartition'!C84*'TC - résumé'!E37-'Clés de répartition'!H84*'TC - fixe'!E37)+('Clés de répartition'!D84*'Vélo - résumé'!E37-'Clés de répartition'!I84*'Vélo - fixe'!E37))*'Clés de répartition'!D168</f>
        <v>0</v>
      </c>
      <c r="Y43" s="54">
        <f>(('Clés de répartition'!B84*('Auto - résumé'!F37+'Auto - résumé'!G37+'Auto - résumé'!H37)-'Clés de répartition'!G84*('Auto - fixe'!F37+'Auto - fixe'!G37+'Auto - fixe'!H37))+('Clés de répartition'!C84*('TC - résumé'!F37+'TC - résumé'!G37)-'Clés de répartition'!H84*('TC - fixe'!F37+'TC - fixe'!G37))+('Clés de répartition'!D84*('Vélo - résumé'!F37+'Vélo - résumé'!G37)-'Clés de répartition'!I84*('Vélo - fixe'!F37+'Vélo - fixe'!G37)))*'Clés de répartition'!D168</f>
        <v>0</v>
      </c>
      <c r="Z43" s="54">
        <f t="shared" si="2"/>
        <v>0</v>
      </c>
      <c r="AA43" s="54">
        <f t="shared" si="3"/>
        <v>0</v>
      </c>
      <c r="AE43" s="293"/>
      <c r="AF43" s="293"/>
      <c r="AG43" s="293"/>
      <c r="AH43" s="293"/>
      <c r="AI43" s="293"/>
      <c r="AW43" s="597" t="s">
        <v>178</v>
      </c>
      <c r="AX43" s="54">
        <f>('Clés de répartition'!B84*'Auto - résumé'!F37)*'Clés de répartition'!D168</f>
        <v>16377302.757110948</v>
      </c>
      <c r="AY43" s="54">
        <f>'Clés de répartition'!G84*'Auto - fixe'!F37*'Clés de répartition'!D168</f>
        <v>16377302.757110948</v>
      </c>
      <c r="AZ43" s="491">
        <f t="shared" si="8"/>
        <v>0</v>
      </c>
    </row>
    <row r="44" spans="1:52">
      <c r="A44" s="597" t="s">
        <v>179</v>
      </c>
      <c r="B44" s="340">
        <v>0.159763075612293</v>
      </c>
      <c r="C44" s="340">
        <v>0.49985162182253001</v>
      </c>
      <c r="D44" s="340">
        <v>0.221397285881093</v>
      </c>
      <c r="E44" s="340">
        <v>0.118988016684084</v>
      </c>
      <c r="F44" s="484">
        <v>1.0476538024147</v>
      </c>
      <c r="G44" s="484">
        <v>24.748468578691799</v>
      </c>
      <c r="H44" s="484">
        <v>34.483865882905398</v>
      </c>
      <c r="I44" s="484">
        <v>18.215740263279301</v>
      </c>
      <c r="J44" s="484">
        <v>12.537390552472999</v>
      </c>
      <c r="K44" s="484">
        <v>19.030839733444299</v>
      </c>
      <c r="L44" s="484">
        <v>8.35261454038538</v>
      </c>
      <c r="M44" s="484">
        <v>4.7254492070991398</v>
      </c>
      <c r="N44" s="484">
        <v>0.902061570932714</v>
      </c>
      <c r="O44" s="484">
        <v>41.982496112345203</v>
      </c>
      <c r="P44" s="17">
        <v>6.2472591007820003E-2</v>
      </c>
      <c r="Q44" s="489">
        <f>('Clés de répartition'!B85-'Clés de répartition'!G85)*'Clés de répartition'!D169</f>
        <v>0</v>
      </c>
      <c r="R44" s="21">
        <f>('Clés de répartition'!C85-'Clés de répartition'!H85)*'Clés de répartition'!D169</f>
        <v>0</v>
      </c>
      <c r="S44" s="21">
        <f>('Clés de répartition'!D85-'Clés de répartition'!I85)*'Clés de répartition'!D169</f>
        <v>0</v>
      </c>
      <c r="T44" s="54">
        <f>(('Clés de répartition'!B85*'Auto - résumé'!D38-'Clés de répartition'!G85*'Auto - fixe'!D38)+('Clés de répartition'!C85*'TC - résumé'!D38-'Clés de répartition'!H85*'TC - fixe'!D38)+('Clés de répartition'!D85*'Vélo - résumé'!D38-'Clés de répartition'!I85*'Vélo - fixe'!D38))*'Clés de répartition'!D169</f>
        <v>0</v>
      </c>
      <c r="U44" s="54">
        <f>(('Clés de répartition'!B85*('Auto - résumé'!B38+'Auto - résumé'!C38)-'Clés de répartition'!G85*('Auto - fixe'!B38+'Auto - fixe'!C38))+('Clés de répartition'!C85*('TC - résumé'!B38+'TC - résumé'!C38)-'Clés de répartition'!H85*('TC - fixe'!B38+'TC - fixe'!C38))+('Clés de répartition'!D85*('Vélo - résumé'!B38+'Vélo - résumé'!C38)-'Clés de répartition'!I85*('Vélo - fixe'!B38+'Vélo - fixe'!C38)))*'Clés de répartition'!D169</f>
        <v>0</v>
      </c>
      <c r="V44" s="54">
        <f t="shared" si="1"/>
        <v>0</v>
      </c>
      <c r="W44" s="54">
        <f>(('Clés de répartition'!B85*('Auto - résumé'!F38)-'Clés de répartition'!G85*('Auto - fixe'!F38)))*'Clés de répartition'!D169</f>
        <v>0</v>
      </c>
      <c r="X44" s="54">
        <f>(('Clés de répartition'!B85*'Auto - résumé'!E38-'Clés de répartition'!G85*'Auto - fixe'!E38)+('Clés de répartition'!C85*'TC - résumé'!E38-'Clés de répartition'!H85*'TC - fixe'!E38)+('Clés de répartition'!D85*'Vélo - résumé'!E38-'Clés de répartition'!I85*'Vélo - fixe'!E38))*'Clés de répartition'!D169</f>
        <v>0</v>
      </c>
      <c r="Y44" s="54">
        <f>(('Clés de répartition'!B85*('Auto - résumé'!F38+'Auto - résumé'!G38+'Auto - résumé'!H38)-'Clés de répartition'!G85*('Auto - fixe'!F38+'Auto - fixe'!G38+'Auto - fixe'!H38))+('Clés de répartition'!C85*('TC - résumé'!F38+'TC - résumé'!G38)-'Clés de répartition'!H85*('TC - fixe'!F38+'TC - fixe'!G38))+('Clés de répartition'!D85*('Vélo - résumé'!F38+'Vélo - résumé'!G38)-'Clés de répartition'!I85*('Vélo - fixe'!F38+'Vélo - fixe'!G38)))*'Clés de répartition'!D169</f>
        <v>0</v>
      </c>
      <c r="Z44" s="54">
        <f t="shared" si="2"/>
        <v>0</v>
      </c>
      <c r="AA44" s="54">
        <f t="shared" si="3"/>
        <v>0</v>
      </c>
      <c r="AE44" s="293"/>
      <c r="AF44" s="293"/>
      <c r="AG44" s="293"/>
      <c r="AH44" s="293"/>
      <c r="AI44" s="293"/>
      <c r="AW44" s="597" t="s">
        <v>179</v>
      </c>
      <c r="AX44" s="54">
        <f>('Clés de répartition'!B85*'Auto - résumé'!F38)*'Clés de répartition'!D169</f>
        <v>22709307.08409385</v>
      </c>
      <c r="AY44" s="54">
        <f>'Clés de répartition'!G85*'Auto - fixe'!F38*'Clés de répartition'!D169</f>
        <v>22709307.08409385</v>
      </c>
      <c r="AZ44" s="491">
        <f t="shared" si="8"/>
        <v>0</v>
      </c>
    </row>
    <row r="45" spans="1:52">
      <c r="U45" s="293"/>
      <c r="V45" s="293"/>
      <c r="W45" s="293"/>
      <c r="X45" s="293"/>
      <c r="Y45" s="54"/>
      <c r="Z45" s="293"/>
      <c r="AA45" s="293"/>
    </row>
    <row r="46" spans="1:52">
      <c r="G46" s="647" t="s">
        <v>828</v>
      </c>
      <c r="H46" s="647"/>
      <c r="I46" s="647"/>
      <c r="J46" s="647"/>
      <c r="K46" s="647" t="s">
        <v>829</v>
      </c>
      <c r="L46" s="647"/>
      <c r="M46" s="647"/>
      <c r="N46" s="647"/>
      <c r="O46" t="s">
        <v>658</v>
      </c>
      <c r="P46" s="54"/>
      <c r="Q46" s="54"/>
      <c r="U46" s="293"/>
      <c r="V46" s="293"/>
      <c r="W46" s="293"/>
      <c r="X46" s="293"/>
      <c r="Y46" s="293"/>
      <c r="Z46" s="293"/>
      <c r="AA46" s="293"/>
    </row>
    <row r="47" spans="1:52" ht="35" thickBot="1">
      <c r="A47" s="8" t="s">
        <v>826</v>
      </c>
      <c r="B47" s="485" t="s">
        <v>10</v>
      </c>
      <c r="C47" s="486" t="s">
        <v>42</v>
      </c>
      <c r="D47" s="487" t="s">
        <v>12</v>
      </c>
      <c r="E47" s="488" t="s">
        <v>13</v>
      </c>
      <c r="F47" s="607" t="s">
        <v>1068</v>
      </c>
      <c r="G47" s="301" t="s">
        <v>10</v>
      </c>
      <c r="H47" s="251" t="s">
        <v>11</v>
      </c>
      <c r="I47" s="57" t="s">
        <v>12</v>
      </c>
      <c r="J47" s="58" t="s">
        <v>13</v>
      </c>
      <c r="K47" s="301" t="s">
        <v>10</v>
      </c>
      <c r="L47" s="251" t="s">
        <v>11</v>
      </c>
      <c r="M47" s="57" t="s">
        <v>12</v>
      </c>
      <c r="N47" s="58" t="s">
        <v>13</v>
      </c>
      <c r="O47" s="301" t="s">
        <v>10</v>
      </c>
      <c r="U47" s="293"/>
      <c r="V47" s="293"/>
      <c r="W47" s="293"/>
      <c r="X47" s="293"/>
      <c r="Y47" s="293"/>
      <c r="Z47" s="293"/>
      <c r="AA47" s="293"/>
    </row>
    <row r="48" spans="1:52">
      <c r="A48" s="107" t="s">
        <v>202</v>
      </c>
      <c r="B48" s="340" cm="1">
        <f t="array" ref="B48">SUM(B49:B63*'Clés de répartition'!$D$135:$D$149)/'Clés de répartition'!$D$134</f>
        <v>0.28722659863515398</v>
      </c>
      <c r="C48" s="340" cm="1">
        <f t="array" ref="C48">SUM(C49:C63*'Clés de répartition'!$D$135:$D$149)/'Clés de répartition'!$D$134</f>
        <v>0.39073656959043951</v>
      </c>
      <c r="D48" s="340" cm="1">
        <f t="array" ref="D48">SUM(D49:D63*'Clés de répartition'!$D$135:$D$149)/'Clés de répartition'!$D$134</f>
        <v>0.20094281470422012</v>
      </c>
      <c r="E48" s="340" cm="1">
        <f t="array" ref="E48">SUM(E49:E63*'Clés de répartition'!$D$135:$D$149)/'Clés de répartition'!$D$134</f>
        <v>0.12146015736439954</v>
      </c>
      <c r="F48" s="484" cm="1">
        <f t="array" ref="F48">SUM(F49:F63*'Clés de répartition'!$D$135:$D$149)/'Clés de répartition'!$D$134</f>
        <v>1.073623412862406</v>
      </c>
      <c r="G48" s="484" cm="1">
        <f t="array" ref="G48">SUM(G49:G63*'Clés de répartition'!$D$135:$D$149)/'Clés de répartition'!$D$134</f>
        <v>24.114292694968093</v>
      </c>
      <c r="H48" s="484" cm="1">
        <f t="array" ref="H48">SUM(H49:H63*'Clés de répartition'!$D$135:$D$149)/'Clés de répartition'!$D$134</f>
        <v>38.822607011200567</v>
      </c>
      <c r="I48" s="484" cm="1">
        <f t="array" ref="I48">SUM(I49:I63*'Clés de répartition'!$D$135:$D$149)/'Clés de répartition'!$D$134</f>
        <v>14.037094085743556</v>
      </c>
      <c r="J48" s="484" cm="1">
        <f t="array" ref="J48">SUM(J49:J63*'Clés de répartition'!$D$135:$D$149)/'Clés de répartition'!$D$134</f>
        <v>15.443486666627914</v>
      </c>
      <c r="K48" s="484" cm="1">
        <f t="array" ref="K48">SUM(K49:K63*'Clés de répartition'!$D$135:$D$149)/'Clés de répartition'!$D$134</f>
        <v>17.328314235946429</v>
      </c>
      <c r="L48" s="484" cm="1">
        <f t="array" ref="L48">SUM(L49:L63*'Clés de répartition'!$D$135:$D$149)/'Clés de répartition'!$D$134</f>
        <v>10.061513811772304</v>
      </c>
      <c r="M48" s="484" cm="1">
        <f t="array" ref="M48">SUM(M49:M63*'Clés de répartition'!$D$135:$D$149)/'Clés de répartition'!$D$134</f>
        <v>3.6795706675545263</v>
      </c>
      <c r="N48" s="484" cm="1">
        <f t="array" ref="N48">SUM(N49:N63*'Clés de répartition'!$D$135:$D$149)/'Clés de répartition'!$D$134</f>
        <v>1.1058384539930508</v>
      </c>
      <c r="O48" s="484" cm="1">
        <f t="array" ref="O48">SUM(O49:O63*'Clés de répartition'!$D$135:$D$149)/'Clés de répartition'!$D$134</f>
        <v>41.554669684706319</v>
      </c>
      <c r="U48" s="293"/>
      <c r="V48" s="293"/>
      <c r="W48" s="293"/>
      <c r="X48" s="293"/>
      <c r="Y48" s="293"/>
      <c r="Z48" s="293"/>
      <c r="AA48" s="293"/>
    </row>
    <row r="49" spans="1:27">
      <c r="A49" s="19" t="s">
        <v>71</v>
      </c>
      <c r="B49" s="340">
        <v>0.37169583098137199</v>
      </c>
      <c r="C49" s="340">
        <v>0.26575276187404201</v>
      </c>
      <c r="D49" s="340">
        <v>0.24578125419992999</v>
      </c>
      <c r="E49" s="340">
        <v>0.116770152944655</v>
      </c>
      <c r="F49" s="484">
        <v>1.0602930556083501</v>
      </c>
      <c r="G49" s="484">
        <v>21.618483967544599</v>
      </c>
      <c r="H49" s="484">
        <v>58.096988577362403</v>
      </c>
      <c r="I49" s="484">
        <v>8.2000918655263693</v>
      </c>
      <c r="J49" s="484">
        <v>14.3176879517518</v>
      </c>
      <c r="K49" s="484">
        <v>23.0341693062004</v>
      </c>
      <c r="L49" s="484">
        <v>24.155631751426199</v>
      </c>
      <c r="M49" s="484">
        <v>2.4548152846737699</v>
      </c>
      <c r="N49" s="484">
        <v>1.03853874131025</v>
      </c>
      <c r="O49" s="484">
        <v>32.357387078578597</v>
      </c>
      <c r="U49" s="293"/>
      <c r="V49" s="293"/>
      <c r="W49" s="293"/>
      <c r="X49" s="293"/>
      <c r="Y49" s="293"/>
      <c r="Z49" s="293"/>
      <c r="AA49" s="293"/>
    </row>
    <row r="50" spans="1:27">
      <c r="A50" s="19" t="s">
        <v>72</v>
      </c>
      <c r="B50" s="340">
        <v>0.52524246070464498</v>
      </c>
      <c r="C50" s="340">
        <v>0.31810189383100002</v>
      </c>
      <c r="D50" s="340">
        <v>0.13277330915334401</v>
      </c>
      <c r="E50" s="340">
        <v>2.38823363110117E-2</v>
      </c>
      <c r="F50" s="484">
        <v>1.17412187606456</v>
      </c>
      <c r="G50" s="484">
        <v>21.7496286389445</v>
      </c>
      <c r="H50" s="484">
        <v>46.125155982709202</v>
      </c>
      <c r="I50" s="484">
        <v>9.9566124823100193</v>
      </c>
      <c r="J50" s="484">
        <v>12.228569366247999</v>
      </c>
      <c r="K50" s="484">
        <v>20.972626768190601</v>
      </c>
      <c r="L50" s="484">
        <v>17.301045364143299</v>
      </c>
      <c r="M50" s="484">
        <v>2.9864465535373501</v>
      </c>
      <c r="N50" s="484">
        <v>0.90744911216977098</v>
      </c>
      <c r="O50" s="484">
        <v>34.827050772916699</v>
      </c>
      <c r="Q50" s="292"/>
      <c r="R50" s="292"/>
      <c r="S50" s="292"/>
      <c r="Z50" s="293"/>
      <c r="AA50" s="293"/>
    </row>
    <row r="51" spans="1:27">
      <c r="A51" s="19" t="s">
        <v>73</v>
      </c>
      <c r="B51" s="340">
        <v>0.31517323640946598</v>
      </c>
      <c r="C51" s="340">
        <v>0.36156841122126399</v>
      </c>
      <c r="D51" s="340">
        <v>0.28550223674398001</v>
      </c>
      <c r="E51" s="340">
        <v>3.7756115625290902E-2</v>
      </c>
      <c r="F51" s="484">
        <v>1.0792891344761699</v>
      </c>
      <c r="G51" s="484">
        <v>24.023624159549001</v>
      </c>
      <c r="H51" s="484">
        <v>42.446271099963703</v>
      </c>
      <c r="I51" s="484">
        <v>13.475575891561499</v>
      </c>
      <c r="J51" s="484">
        <v>14.113383277338199</v>
      </c>
      <c r="K51" s="484">
        <v>13.976070575977699</v>
      </c>
      <c r="L51" s="484">
        <v>9.0731046990138609</v>
      </c>
      <c r="M51" s="484">
        <v>3.7263202777608502</v>
      </c>
      <c r="N51" s="484">
        <v>1.01404031646256</v>
      </c>
      <c r="O51" s="484">
        <v>42.444892540738401</v>
      </c>
      <c r="Q51" s="292"/>
      <c r="R51" s="292"/>
      <c r="S51" s="292"/>
      <c r="Z51" s="293"/>
      <c r="AA51" s="293"/>
    </row>
    <row r="52" spans="1:27">
      <c r="A52" s="19" t="s">
        <v>74</v>
      </c>
      <c r="B52" s="340">
        <v>0.52682920324418203</v>
      </c>
      <c r="C52" s="340">
        <v>0.23950224167408299</v>
      </c>
      <c r="D52" s="340">
        <v>0.21004043996889499</v>
      </c>
      <c r="E52" s="340">
        <v>2.3628115112841699E-2</v>
      </c>
      <c r="F52" s="484">
        <v>1.11808780633608</v>
      </c>
      <c r="G52" s="484">
        <v>23.800367752361002</v>
      </c>
      <c r="H52" s="484">
        <v>53.516344468392397</v>
      </c>
      <c r="I52" s="484">
        <v>11.7937324469587</v>
      </c>
      <c r="J52" s="484">
        <v>16.347500445553401</v>
      </c>
      <c r="K52" s="484">
        <v>19.681347608244199</v>
      </c>
      <c r="L52" s="484">
        <v>16.16760508074</v>
      </c>
      <c r="M52" s="484">
        <v>3.4055436284444101</v>
      </c>
      <c r="N52" s="484">
        <v>1.1932602625794599</v>
      </c>
      <c r="O52" s="484">
        <v>41.1811748225849</v>
      </c>
      <c r="Q52" s="292"/>
      <c r="R52" s="292"/>
      <c r="S52" s="292"/>
      <c r="Z52" s="293"/>
      <c r="AA52" s="293"/>
    </row>
    <row r="53" spans="1:27">
      <c r="A53" s="19" t="s">
        <v>86</v>
      </c>
      <c r="B53" s="340">
        <v>0.53287763705756597</v>
      </c>
      <c r="C53" s="340">
        <v>0.26237083973620301</v>
      </c>
      <c r="D53" s="340">
        <v>0.16374629697701901</v>
      </c>
      <c r="E53" s="340">
        <v>4.1005226229211399E-2</v>
      </c>
      <c r="F53" s="484">
        <v>1.10641804636997</v>
      </c>
      <c r="G53" s="484">
        <v>18.3514859075221</v>
      </c>
      <c r="H53" s="484">
        <v>45.8294010286846</v>
      </c>
      <c r="I53" s="484">
        <v>12.371167525373201</v>
      </c>
      <c r="J53" s="484">
        <v>22.6647437641723</v>
      </c>
      <c r="K53" s="484">
        <v>16.518194413262201</v>
      </c>
      <c r="L53" s="484">
        <v>16.002991548909801</v>
      </c>
      <c r="M53" s="484">
        <v>3.5882747759854898</v>
      </c>
      <c r="N53" s="484">
        <v>1.6402403628117901</v>
      </c>
      <c r="O53" s="484">
        <v>29.538011244202501</v>
      </c>
      <c r="Q53" s="292"/>
      <c r="R53" s="292"/>
      <c r="S53" s="292"/>
      <c r="Z53" s="293"/>
      <c r="AA53" s="293"/>
    </row>
    <row r="54" spans="1:27">
      <c r="A54" s="19" t="s">
        <v>76</v>
      </c>
      <c r="B54" s="340">
        <v>0.22376302982335</v>
      </c>
      <c r="C54" s="340">
        <v>0.459776703770439</v>
      </c>
      <c r="D54" s="340">
        <v>0.249731404610747</v>
      </c>
      <c r="E54" s="340">
        <v>6.6728861795463307E-2</v>
      </c>
      <c r="F54" s="484">
        <v>1.0614335312871901</v>
      </c>
      <c r="G54" s="484">
        <v>18.474600006622701</v>
      </c>
      <c r="H54" s="484">
        <v>32.718770690705099</v>
      </c>
      <c r="I54" s="484">
        <v>14.026966513371701</v>
      </c>
      <c r="J54" s="484">
        <v>14.8265434466607</v>
      </c>
      <c r="K54" s="484">
        <v>12.647870364517001</v>
      </c>
      <c r="L54" s="484">
        <v>7.6143077736740201</v>
      </c>
      <c r="M54" s="484">
        <v>3.5484038894658001</v>
      </c>
      <c r="N54" s="484">
        <v>1.0355588306549299</v>
      </c>
      <c r="O54" s="484">
        <v>32.108111850641002</v>
      </c>
      <c r="Q54" s="292"/>
      <c r="R54" s="292"/>
      <c r="S54" s="292"/>
    </row>
    <row r="55" spans="1:27">
      <c r="A55" s="19" t="s">
        <v>77</v>
      </c>
      <c r="B55" s="340">
        <v>0.60874899131163396</v>
      </c>
      <c r="C55" s="340">
        <v>0.25149067556299698</v>
      </c>
      <c r="D55" s="340">
        <v>0.127725767757743</v>
      </c>
      <c r="E55" s="340">
        <v>1.20345653676244E-2</v>
      </c>
      <c r="F55" s="484">
        <v>1.1634489889766999</v>
      </c>
      <c r="G55" s="484">
        <v>22.503261416821001</v>
      </c>
      <c r="H55" s="484">
        <v>52.446949592822797</v>
      </c>
      <c r="I55" s="484">
        <v>11.5990723757306</v>
      </c>
      <c r="J55" s="484">
        <v>20.429919062238302</v>
      </c>
      <c r="K55" s="484">
        <v>21.036333540700799</v>
      </c>
      <c r="L55" s="484">
        <v>16.8609984607731</v>
      </c>
      <c r="M55" s="484">
        <v>3.4973992334444399</v>
      </c>
      <c r="N55" s="484">
        <v>1.5338891989952601</v>
      </c>
      <c r="O55" s="484">
        <v>36.190622254162598</v>
      </c>
      <c r="Q55" s="292"/>
      <c r="R55" s="292"/>
      <c r="S55" s="292"/>
    </row>
    <row r="56" spans="1:27">
      <c r="A56" s="19" t="s">
        <v>79</v>
      </c>
      <c r="B56" s="340" cm="1">
        <f t="array" ref="B56">SUM(B65:B83*'Clés de répartition'!$D$151:$D$169)/'Clés de répartition'!$D$142</f>
        <v>0.26999267070917354</v>
      </c>
      <c r="C56" s="340" cm="1">
        <f t="array" ref="C56">SUM(C65:C83*'Clés de répartition'!$D$151:$D$169)/'Clés de répartition'!$D$142</f>
        <v>0.40182393203037842</v>
      </c>
      <c r="D56" s="340" cm="1">
        <f t="array" ref="D56">SUM(D65:D83*'Clés de répartition'!$D$151:$D$169)/'Clés de répartition'!$D$142</f>
        <v>0.19866474864651334</v>
      </c>
      <c r="E56" s="340" cm="1">
        <f t="array" ref="E56">SUM(E65:E83*'Clés de répartition'!$D$151:$D$169)/'Clés de répartition'!$D$142</f>
        <v>0.12951864861393486</v>
      </c>
      <c r="F56" s="484" cm="1">
        <f t="array" ref="F56">SUM(F65:F83*'Clés de répartition'!$D$151:$D$169)/'Clés de répartition'!$D$142</f>
        <v>1.069568905291103</v>
      </c>
      <c r="G56" s="484" cm="1">
        <f t="array" ref="G56">SUM(G65:G83*'Clés de répartition'!$D$151:$D$169)/'Clés de répartition'!$D$142</f>
        <v>24.375494735718039</v>
      </c>
      <c r="H56" s="484" cm="1">
        <f t="array" ref="H56">SUM(H65:H83*'Clés de répartition'!$D$151:$D$169)/'Clés de répartition'!$D$142</f>
        <v>37.997648788503291</v>
      </c>
      <c r="I56" s="484" cm="1">
        <f t="array" ref="I56">SUM(I65:I83*'Clés de répartition'!$D$151:$D$169)/'Clés de répartition'!$D$142</f>
        <v>14.220189739929927</v>
      </c>
      <c r="J56" s="484" cm="1">
        <f t="array" ref="J56">SUM(J65:J83*'Clés de répartition'!$D$151:$D$169)/'Clés de répartition'!$D$142</f>
        <v>15.261941214031411</v>
      </c>
      <c r="K56" s="484" cm="1">
        <f t="array" ref="K56">SUM(K65:K83*'Clés de répartition'!$D$151:$D$169)/'Clés de répartition'!$D$142</f>
        <v>17.272431219222341</v>
      </c>
      <c r="L56" s="484" cm="1">
        <f t="array" ref="L56">SUM(L65:L83*'Clés de répartition'!$D$151:$D$169)/'Clés de répartition'!$D$142</f>
        <v>9.6181539672500982</v>
      </c>
      <c r="M56" s="484" cm="1">
        <f t="array" ref="M56">SUM(M65:M83*'Clés de répartition'!$D$151:$D$169)/'Clés de répartition'!$D$142</f>
        <v>3.7032262570292591</v>
      </c>
      <c r="N56" s="484" cm="1">
        <f t="array" ref="N56">SUM(N65:N83*'Clés de répartition'!$D$151:$D$169)/'Clés de répartition'!$D$142</f>
        <v>1.0907467051621478</v>
      </c>
      <c r="O56" s="484" cm="1">
        <f t="array" ref="O56">SUM(O65:O83*'Clés de répartition'!$D$151:$D$169)/'Clés de répartition'!$D$142</f>
        <v>42.154443761286316</v>
      </c>
      <c r="Q56" s="292"/>
      <c r="R56" s="292"/>
      <c r="S56" s="292"/>
    </row>
    <row r="57" spans="1:27">
      <c r="A57" s="19" t="s">
        <v>80</v>
      </c>
      <c r="B57" s="340">
        <v>0.43914423815118198</v>
      </c>
      <c r="C57" s="340">
        <v>0.32217756272904002</v>
      </c>
      <c r="D57" s="340">
        <v>0.15768723696623599</v>
      </c>
      <c r="E57" s="340">
        <v>8.0990962153542997E-2</v>
      </c>
      <c r="F57" s="484">
        <v>1.07479296144674</v>
      </c>
      <c r="G57" s="484">
        <v>25.887487787428199</v>
      </c>
      <c r="H57" s="484">
        <v>47.278305004388301</v>
      </c>
      <c r="I57" s="484">
        <v>10.312865750783301</v>
      </c>
      <c r="J57" s="484">
        <v>12.8839126127535</v>
      </c>
      <c r="K57" s="484">
        <v>18.2482763926178</v>
      </c>
      <c r="L57" s="484">
        <v>14.4729784416719</v>
      </c>
      <c r="M57" s="484">
        <v>2.80678878444605</v>
      </c>
      <c r="N57" s="484">
        <v>0.94787110902549698</v>
      </c>
      <c r="O57" s="484">
        <v>44.619617621491003</v>
      </c>
      <c r="Q57" s="292"/>
      <c r="R57" s="292"/>
      <c r="S57" s="292"/>
    </row>
    <row r="58" spans="1:27">
      <c r="A58" s="19" t="s">
        <v>81</v>
      </c>
      <c r="B58" s="340">
        <v>0.30880204486572499</v>
      </c>
      <c r="C58" s="340">
        <v>0.436244967134433</v>
      </c>
      <c r="D58" s="340">
        <v>0.204025829395408</v>
      </c>
      <c r="E58" s="340">
        <v>5.0927158604434697E-2</v>
      </c>
      <c r="F58" s="484">
        <v>1.1457812255217099</v>
      </c>
      <c r="G58" s="484">
        <v>25.101975632614799</v>
      </c>
      <c r="H58" s="484">
        <v>39.085506415665797</v>
      </c>
      <c r="I58" s="484">
        <v>18.227141090092001</v>
      </c>
      <c r="J58" s="484">
        <v>15.8323695217312</v>
      </c>
      <c r="K58" s="484">
        <v>17.223625866916599</v>
      </c>
      <c r="L58" s="484">
        <v>8.4276389323794305</v>
      </c>
      <c r="M58" s="484">
        <v>4.8793454454670302</v>
      </c>
      <c r="N58" s="484">
        <v>1.1408710674668101</v>
      </c>
      <c r="O58" s="484">
        <v>41.369538519212703</v>
      </c>
      <c r="Q58" s="292"/>
      <c r="R58" s="292"/>
      <c r="S58" s="292"/>
    </row>
    <row r="59" spans="1:27">
      <c r="A59" s="19" t="s">
        <v>78</v>
      </c>
      <c r="B59" s="340">
        <v>0.29779502209533698</v>
      </c>
      <c r="C59" s="340">
        <v>0.39503070062211199</v>
      </c>
      <c r="D59" s="340">
        <v>0.23046422985224299</v>
      </c>
      <c r="E59" s="340">
        <v>7.6710047430309999E-2</v>
      </c>
      <c r="F59" s="484">
        <v>1.0592535183232299</v>
      </c>
      <c r="G59" s="484">
        <v>19.414134213152099</v>
      </c>
      <c r="H59" s="484">
        <v>38.227665720959898</v>
      </c>
      <c r="I59" s="484">
        <v>15.6487420078236</v>
      </c>
      <c r="J59" s="484">
        <v>20.7625010723029</v>
      </c>
      <c r="K59" s="484">
        <v>14.538772707261399</v>
      </c>
      <c r="L59" s="484">
        <v>8.8152948611064197</v>
      </c>
      <c r="M59" s="484">
        <v>3.83515898692918</v>
      </c>
      <c r="N59" s="484">
        <v>1.4629062378334901</v>
      </c>
      <c r="O59" s="484">
        <v>29.4901924688468</v>
      </c>
      <c r="Q59" s="292"/>
      <c r="R59" s="292"/>
      <c r="S59" s="292"/>
    </row>
    <row r="60" spans="1:27">
      <c r="A60" s="19" t="s">
        <v>82</v>
      </c>
      <c r="B60" s="340">
        <v>0.46236105608869799</v>
      </c>
      <c r="C60" s="340">
        <v>0.20540014598185299</v>
      </c>
      <c r="D60" s="340">
        <v>0.26432307321364401</v>
      </c>
      <c r="E60" s="340">
        <v>6.7915724715805106E-2</v>
      </c>
      <c r="F60" s="484">
        <v>1.0854556241622499</v>
      </c>
      <c r="G60" s="484">
        <v>19.563669871817599</v>
      </c>
      <c r="H60" s="484">
        <v>47.084461107935397</v>
      </c>
      <c r="I60" s="484">
        <v>10.7731363464636</v>
      </c>
      <c r="J60" s="484">
        <v>15.908136396614299</v>
      </c>
      <c r="K60" s="484">
        <v>17.680261110629601</v>
      </c>
      <c r="L60" s="484">
        <v>16.596645973135399</v>
      </c>
      <c r="M60" s="484">
        <v>3.2390069793800098</v>
      </c>
      <c r="N60" s="484">
        <v>1.1778853688029001</v>
      </c>
      <c r="O60" s="484">
        <v>30.931949249960599</v>
      </c>
      <c r="Q60" s="292"/>
      <c r="R60" s="292"/>
      <c r="S60" s="292"/>
    </row>
    <row r="61" spans="1:27">
      <c r="A61" s="19" t="s">
        <v>83</v>
      </c>
      <c r="B61" s="340">
        <v>0.59019565217391301</v>
      </c>
      <c r="C61" s="340">
        <v>0.24566149068323001</v>
      </c>
      <c r="D61" s="340">
        <v>0.103503105590062</v>
      </c>
      <c r="E61" s="340">
        <v>6.0639751552795003E-2</v>
      </c>
      <c r="F61" s="484">
        <v>1.2309791047424701</v>
      </c>
      <c r="G61" s="484">
        <v>21.2574154270349</v>
      </c>
      <c r="H61" s="484">
        <v>50.006753641876202</v>
      </c>
      <c r="I61" s="484">
        <v>8.1749879980796898</v>
      </c>
      <c r="J61" s="484">
        <v>10.076037078766801</v>
      </c>
      <c r="K61" s="484">
        <v>21.541115957967399</v>
      </c>
      <c r="L61" s="484">
        <v>16.595110172812699</v>
      </c>
      <c r="M61" s="484">
        <v>2.4023433749399898</v>
      </c>
      <c r="N61" s="484">
        <v>0.71967120762060799</v>
      </c>
      <c r="O61" s="484">
        <v>30.304680519671901</v>
      </c>
      <c r="Q61" s="292"/>
      <c r="R61" s="292"/>
      <c r="S61" s="292"/>
    </row>
    <row r="62" spans="1:27">
      <c r="A62" s="19" t="s">
        <v>84</v>
      </c>
      <c r="B62" s="340">
        <v>0.61440654843110498</v>
      </c>
      <c r="C62" s="340">
        <v>0.18978171896316501</v>
      </c>
      <c r="D62" s="340">
        <v>0.19581173260573001</v>
      </c>
      <c r="E62" s="340">
        <v>0</v>
      </c>
      <c r="F62" s="484">
        <v>1.0724024447578799</v>
      </c>
      <c r="G62" s="484">
        <v>27.0085109690026</v>
      </c>
      <c r="H62" s="484">
        <v>91.775122804495297</v>
      </c>
      <c r="I62" s="484">
        <v>23.455744443670302</v>
      </c>
      <c r="J62" s="484">
        <v>0</v>
      </c>
      <c r="K62" s="484">
        <v>30.270385913491399</v>
      </c>
      <c r="L62" s="484">
        <v>35.780950327079303</v>
      </c>
      <c r="M62" s="484">
        <v>6.6646276039852301</v>
      </c>
      <c r="N62" s="484">
        <v>0</v>
      </c>
      <c r="O62" s="484">
        <v>38.727484678923503</v>
      </c>
      <c r="Q62" s="292"/>
      <c r="R62" s="292"/>
      <c r="S62" s="292"/>
    </row>
    <row r="63" spans="1:27">
      <c r="A63" s="19" t="s">
        <v>85</v>
      </c>
      <c r="B63" s="340">
        <v>0.15167586846046699</v>
      </c>
      <c r="C63" s="340">
        <v>0.35122229396253901</v>
      </c>
      <c r="D63" s="340">
        <v>0.341759160433311</v>
      </c>
      <c r="E63" s="340">
        <v>0.155342677143681</v>
      </c>
      <c r="F63" s="484">
        <v>1.0449792343401001</v>
      </c>
      <c r="G63" s="484">
        <v>21.4238953642704</v>
      </c>
      <c r="H63" s="484">
        <v>28.756166780954501</v>
      </c>
      <c r="I63" s="484">
        <v>14.9343789091283</v>
      </c>
      <c r="J63" s="484">
        <v>21.2116746149931</v>
      </c>
      <c r="K63" s="484">
        <v>16.2956750886846</v>
      </c>
      <c r="L63" s="484">
        <v>6.4827413643251299</v>
      </c>
      <c r="M63" s="484">
        <v>3.54827355758521</v>
      </c>
      <c r="N63" s="484">
        <v>1.51083391453507</v>
      </c>
      <c r="O63" s="484">
        <v>38.889601583049803</v>
      </c>
      <c r="Q63" s="292"/>
      <c r="R63" s="292"/>
      <c r="S63" s="292"/>
    </row>
    <row r="64" spans="1:27">
      <c r="A64" s="107" t="s">
        <v>585</v>
      </c>
      <c r="B64" s="613"/>
      <c r="C64" s="613"/>
      <c r="D64" s="613"/>
      <c r="E64" s="613"/>
      <c r="F64" s="614"/>
      <c r="G64" s="614"/>
      <c r="H64" s="614"/>
      <c r="I64" s="614"/>
      <c r="J64" s="614"/>
      <c r="K64" s="614"/>
      <c r="L64" s="614"/>
      <c r="M64" s="614"/>
      <c r="N64" s="614"/>
      <c r="O64" s="614"/>
      <c r="Q64" s="292"/>
      <c r="R64" s="292"/>
      <c r="S64" s="292"/>
    </row>
    <row r="65" spans="1:19">
      <c r="A65" s="597" t="s">
        <v>154</v>
      </c>
      <c r="B65" s="340">
        <v>0.29228507226676198</v>
      </c>
      <c r="C65" s="340">
        <v>0.39999439983469098</v>
      </c>
      <c r="D65" s="340">
        <v>0.20546293533183099</v>
      </c>
      <c r="E65" s="340">
        <v>0.102257592566714</v>
      </c>
      <c r="F65" s="484">
        <v>1.0734565739181301</v>
      </c>
      <c r="G65" s="484">
        <v>23.881819076916599</v>
      </c>
      <c r="H65" s="484">
        <v>40.036454902049698</v>
      </c>
      <c r="I65" s="484">
        <v>15.6159437535372</v>
      </c>
      <c r="J65" s="484">
        <v>14.280120331482101</v>
      </c>
      <c r="K65" s="484">
        <v>15.6976955733436</v>
      </c>
      <c r="L65" s="484">
        <v>10.2232642161279</v>
      </c>
      <c r="M65" s="484">
        <v>4.1234830938204396</v>
      </c>
      <c r="N65" s="484">
        <v>1.0280702466085501</v>
      </c>
      <c r="O65" s="484">
        <v>40.925606154954302</v>
      </c>
      <c r="Q65" s="292"/>
      <c r="R65" s="292"/>
      <c r="S65" s="292"/>
    </row>
    <row r="66" spans="1:19">
      <c r="A66" s="597" t="s">
        <v>155</v>
      </c>
      <c r="B66" s="340">
        <v>0.35330228368945499</v>
      </c>
      <c r="C66" s="340">
        <v>0.32708211717130897</v>
      </c>
      <c r="D66" s="340">
        <v>0.20817100318027501</v>
      </c>
      <c r="E66" s="340">
        <v>0.111444595958959</v>
      </c>
      <c r="F66" s="484">
        <v>1.0625066823479099</v>
      </c>
      <c r="G66" s="484">
        <v>25.025781023445798</v>
      </c>
      <c r="H66" s="484">
        <v>42.977927554267602</v>
      </c>
      <c r="I66" s="484">
        <v>13.5157710417677</v>
      </c>
      <c r="J66" s="484">
        <v>14.560982512229099</v>
      </c>
      <c r="K66" s="484">
        <v>17.857733300727599</v>
      </c>
      <c r="L66" s="484">
        <v>11.3618510798294</v>
      </c>
      <c r="M66" s="484">
        <v>3.7572399253676498</v>
      </c>
      <c r="N66" s="484">
        <v>1.0631401834535099</v>
      </c>
      <c r="O66" s="484">
        <v>48.130641698731402</v>
      </c>
      <c r="Q66" s="292"/>
      <c r="R66" s="292"/>
      <c r="S66" s="292"/>
    </row>
    <row r="67" spans="1:19">
      <c r="A67" s="597" t="s">
        <v>156</v>
      </c>
      <c r="B67" s="340">
        <v>0.17612691774973599</v>
      </c>
      <c r="C67" s="340">
        <v>0.46277369372666199</v>
      </c>
      <c r="D67" s="340">
        <v>0.20685714805677199</v>
      </c>
      <c r="E67" s="340">
        <v>0.15424224046683099</v>
      </c>
      <c r="F67" s="484">
        <v>1.0525434370839499</v>
      </c>
      <c r="G67" s="484">
        <v>22.129188120443199</v>
      </c>
      <c r="H67" s="484">
        <v>32.577094143908703</v>
      </c>
      <c r="I67" s="484">
        <v>14.114531031264599</v>
      </c>
      <c r="J67" s="484">
        <v>16.929718973793101</v>
      </c>
      <c r="K67" s="484">
        <v>16.368047248459298</v>
      </c>
      <c r="L67" s="484">
        <v>7.5799254307778199</v>
      </c>
      <c r="M67" s="484">
        <v>3.5736506653272002</v>
      </c>
      <c r="N67" s="484">
        <v>1.1811430785408099</v>
      </c>
      <c r="O67" s="484">
        <v>37.252328736901703</v>
      </c>
      <c r="Q67" s="292"/>
      <c r="R67" s="292"/>
      <c r="S67" s="292"/>
    </row>
    <row r="68" spans="1:19">
      <c r="A68" s="597" t="s">
        <v>403</v>
      </c>
      <c r="B68" s="340">
        <v>0.54403696757970099</v>
      </c>
      <c r="C68" s="340">
        <v>0.199655062482468</v>
      </c>
      <c r="D68" s="340">
        <v>0.20457275276619999</v>
      </c>
      <c r="E68" s="340">
        <v>5.1735217171628801E-2</v>
      </c>
      <c r="F68" s="484">
        <v>1.10522917532506</v>
      </c>
      <c r="G68" s="484">
        <v>27.724430705017699</v>
      </c>
      <c r="H68" s="484">
        <v>58.130484376116897</v>
      </c>
      <c r="I68" s="484">
        <v>12.003087858924401</v>
      </c>
      <c r="J68" s="484">
        <v>13.955559220317401</v>
      </c>
      <c r="K68" s="484">
        <v>23.154540551581398</v>
      </c>
      <c r="L68" s="484">
        <v>18.028037830724401</v>
      </c>
      <c r="M68" s="484">
        <v>3.5006550866870998</v>
      </c>
      <c r="N68" s="484">
        <v>1.0036683372617801</v>
      </c>
      <c r="O68" s="484">
        <v>44.870498406119403</v>
      </c>
      <c r="Q68" s="292"/>
      <c r="R68" s="292"/>
      <c r="S68" s="292"/>
    </row>
    <row r="69" spans="1:19">
      <c r="A69" s="597" t="s">
        <v>168</v>
      </c>
      <c r="B69" s="340">
        <v>0.41846770631951702</v>
      </c>
      <c r="C69" s="340">
        <v>0.31202710370303099</v>
      </c>
      <c r="D69" s="340">
        <v>0.210838995171229</v>
      </c>
      <c r="E69" s="340">
        <v>5.86661948062202E-2</v>
      </c>
      <c r="F69" s="484">
        <v>1.11853454546416</v>
      </c>
      <c r="G69" s="484">
        <v>24.234222359676501</v>
      </c>
      <c r="H69" s="484">
        <v>44.684302846441099</v>
      </c>
      <c r="I69" s="484">
        <v>12.4706423768255</v>
      </c>
      <c r="J69" s="484">
        <v>10.4975995213999</v>
      </c>
      <c r="K69" s="484">
        <v>17.836056588064402</v>
      </c>
      <c r="L69" s="484">
        <v>11.6900931904506</v>
      </c>
      <c r="M69" s="484">
        <v>3.4535777576634001</v>
      </c>
      <c r="N69" s="484">
        <v>0.76136363636363602</v>
      </c>
      <c r="O69" s="484">
        <v>41.217193958185398</v>
      </c>
      <c r="Q69" s="292"/>
      <c r="R69" s="292"/>
      <c r="S69" s="292"/>
    </row>
    <row r="70" spans="1:19">
      <c r="A70" s="597" t="s">
        <v>167</v>
      </c>
      <c r="B70" s="340">
        <v>0.41300652797920401</v>
      </c>
      <c r="C70" s="340">
        <v>0.29636194091712098</v>
      </c>
      <c r="D70" s="340">
        <v>0.195911557793046</v>
      </c>
      <c r="E70" s="340">
        <v>9.4719973310629701E-2</v>
      </c>
      <c r="F70" s="484">
        <v>1.07559435304061</v>
      </c>
      <c r="G70" s="484">
        <v>20.042598805997098</v>
      </c>
      <c r="H70" s="484">
        <v>44.026304574789798</v>
      </c>
      <c r="I70" s="484">
        <v>11.335277300049601</v>
      </c>
      <c r="J70" s="484">
        <v>11.2605975253457</v>
      </c>
      <c r="K70" s="484">
        <v>16.499852463379899</v>
      </c>
      <c r="L70" s="484">
        <v>12.128002373344399</v>
      </c>
      <c r="M70" s="484">
        <v>3.2671089684586501</v>
      </c>
      <c r="N70" s="484">
        <v>0.81946737037685302</v>
      </c>
      <c r="O70" s="484">
        <v>33.621764708425196</v>
      </c>
      <c r="Q70" s="292"/>
      <c r="R70" s="292"/>
      <c r="S70" s="292"/>
    </row>
    <row r="71" spans="1:19">
      <c r="A71" s="597" t="s">
        <v>170</v>
      </c>
      <c r="B71" s="340">
        <v>0.24114338660461401</v>
      </c>
      <c r="C71" s="340">
        <v>0.45456760988936201</v>
      </c>
      <c r="D71" s="340">
        <v>0.20294745636057299</v>
      </c>
      <c r="E71" s="340">
        <v>0.101341547145451</v>
      </c>
      <c r="F71" s="484">
        <v>1.0649483452635</v>
      </c>
      <c r="G71" s="484">
        <v>25.294877486850499</v>
      </c>
      <c r="H71" s="484">
        <v>36.736629681616897</v>
      </c>
      <c r="I71" s="484">
        <v>15.0506389674754</v>
      </c>
      <c r="J71" s="484">
        <v>15.361647484103701</v>
      </c>
      <c r="K71" s="484">
        <v>17.088772705909602</v>
      </c>
      <c r="L71" s="484">
        <v>9.7981148443864807</v>
      </c>
      <c r="M71" s="484">
        <v>3.8474825470162002</v>
      </c>
      <c r="N71" s="484">
        <v>1.0958180484226001</v>
      </c>
      <c r="O71" s="484">
        <v>45.862190077114697</v>
      </c>
      <c r="Q71" s="292"/>
      <c r="R71" s="292"/>
      <c r="S71" s="292"/>
    </row>
    <row r="72" spans="1:19">
      <c r="A72" s="597" t="s">
        <v>171</v>
      </c>
      <c r="B72" s="340">
        <v>0.291529028788722</v>
      </c>
      <c r="C72" s="340">
        <v>0.35178975799594597</v>
      </c>
      <c r="D72" s="340">
        <v>0.21567273495484099</v>
      </c>
      <c r="E72" s="340">
        <v>0.14100847826049001</v>
      </c>
      <c r="F72" s="484">
        <v>1.06166043861968</v>
      </c>
      <c r="G72" s="484">
        <v>28.091150742584901</v>
      </c>
      <c r="H72" s="484">
        <v>45.007379896723201</v>
      </c>
      <c r="I72" s="484">
        <v>12.6950332311977</v>
      </c>
      <c r="J72" s="484">
        <v>11.837735930822999</v>
      </c>
      <c r="K72" s="484">
        <v>17.105216247556701</v>
      </c>
      <c r="L72" s="484">
        <v>11.1062998777799</v>
      </c>
      <c r="M72" s="484">
        <v>3.48807248934457</v>
      </c>
      <c r="N72" s="484">
        <v>0.85770711224541896</v>
      </c>
      <c r="O72" s="484">
        <v>49.777022054832798</v>
      </c>
      <c r="Q72" s="292"/>
      <c r="R72" s="292"/>
      <c r="S72" s="292"/>
    </row>
    <row r="73" spans="1:19">
      <c r="A73" s="597" t="s">
        <v>172</v>
      </c>
      <c r="B73" s="340">
        <v>0.11824142034577299</v>
      </c>
      <c r="C73" s="340">
        <v>0.37677992869690702</v>
      </c>
      <c r="D73" s="340">
        <v>0.28401347219450401</v>
      </c>
      <c r="E73" s="340">
        <v>0.22096517876281499</v>
      </c>
      <c r="F73" s="484">
        <v>1.02622998242321</v>
      </c>
      <c r="G73" s="484">
        <v>25.1613894271843</v>
      </c>
      <c r="H73" s="484">
        <v>27.294509371054701</v>
      </c>
      <c r="I73" s="484">
        <v>15.643607111441099</v>
      </c>
      <c r="J73" s="484">
        <v>17.023575941251401</v>
      </c>
      <c r="K73" s="484">
        <v>16.435071159175699</v>
      </c>
      <c r="L73" s="484">
        <v>5.2743166575990301</v>
      </c>
      <c r="M73" s="484">
        <v>4.0334023287245797</v>
      </c>
      <c r="N73" s="484">
        <v>1.2215463662333701</v>
      </c>
      <c r="O73" s="484">
        <v>39.435099497822499</v>
      </c>
      <c r="Q73" s="292"/>
      <c r="R73" s="292"/>
      <c r="S73" s="292"/>
    </row>
    <row r="74" spans="1:19">
      <c r="A74" s="597" t="s">
        <v>173</v>
      </c>
      <c r="B74" s="340">
        <v>0.53905013049404804</v>
      </c>
      <c r="C74" s="340">
        <v>0.25760827594334901</v>
      </c>
      <c r="D74" s="340">
        <v>0.16524555056392401</v>
      </c>
      <c r="E74" s="340">
        <v>3.8096042998680399E-2</v>
      </c>
      <c r="F74" s="484">
        <v>1.1325262812582999</v>
      </c>
      <c r="G74" s="484">
        <v>24.160743893484199</v>
      </c>
      <c r="H74" s="484">
        <v>60.674173197119202</v>
      </c>
      <c r="I74" s="484">
        <v>10.905910768371699</v>
      </c>
      <c r="J74" s="484">
        <v>17.924277980176299</v>
      </c>
      <c r="K74" s="484">
        <v>19.313043056123899</v>
      </c>
      <c r="L74" s="484">
        <v>18.1618326151963</v>
      </c>
      <c r="M74" s="484">
        <v>3.1865162502727302</v>
      </c>
      <c r="N74" s="484">
        <v>1.2948395172287499</v>
      </c>
      <c r="O74" s="484">
        <v>40.972577333378403</v>
      </c>
      <c r="Q74" s="292"/>
      <c r="R74" s="292"/>
      <c r="S74" s="292"/>
    </row>
    <row r="75" spans="1:19">
      <c r="A75" s="597" t="s">
        <v>350</v>
      </c>
      <c r="B75" s="340">
        <v>0.115099122190675</v>
      </c>
      <c r="C75" s="340">
        <v>0.41423842010876899</v>
      </c>
      <c r="D75" s="340">
        <v>0.23432784197322201</v>
      </c>
      <c r="E75" s="340">
        <v>0.236334615727334</v>
      </c>
      <c r="F75" s="484">
        <v>1.03064020627908</v>
      </c>
      <c r="G75" s="484">
        <v>27.415218976197899</v>
      </c>
      <c r="H75" s="484">
        <v>30.542518288336002</v>
      </c>
      <c r="I75" s="484">
        <v>15.7957914422761</v>
      </c>
      <c r="J75" s="484">
        <v>20.2578988646985</v>
      </c>
      <c r="K75" s="484">
        <v>18.064116586123198</v>
      </c>
      <c r="L75" s="484">
        <v>6.6319117758330997</v>
      </c>
      <c r="M75" s="484">
        <v>3.8889523974441098</v>
      </c>
      <c r="N75" s="484">
        <v>1.44742155184196</v>
      </c>
      <c r="O75" s="484">
        <v>43.5116696115441</v>
      </c>
      <c r="Q75" s="292"/>
      <c r="R75" s="292"/>
      <c r="S75" s="292"/>
    </row>
    <row r="76" spans="1:19">
      <c r="A76" s="597" t="s">
        <v>174</v>
      </c>
      <c r="B76" s="340">
        <v>0.48423685419036</v>
      </c>
      <c r="C76" s="340">
        <v>0.32609866230953199</v>
      </c>
      <c r="D76" s="340">
        <v>0.14750939655121501</v>
      </c>
      <c r="E76" s="340">
        <v>4.2155086948894999E-2</v>
      </c>
      <c r="F76" s="484">
        <v>1.10340525305205</v>
      </c>
      <c r="G76" s="484">
        <v>26.600006105358901</v>
      </c>
      <c r="H76" s="484">
        <v>50.558249759093798</v>
      </c>
      <c r="I76" s="484">
        <v>11.426369496027601</v>
      </c>
      <c r="J76" s="484">
        <v>14.017185257222501</v>
      </c>
      <c r="K76" s="484">
        <v>20.252889503585401</v>
      </c>
      <c r="L76" s="484">
        <v>14.5972054079831</v>
      </c>
      <c r="M76" s="484">
        <v>3.2019155173473499</v>
      </c>
      <c r="N76" s="484">
        <v>1.0261234050710399</v>
      </c>
      <c r="O76" s="484">
        <v>49.051397516665602</v>
      </c>
      <c r="Q76" s="292"/>
      <c r="R76" s="292"/>
      <c r="S76" s="292"/>
    </row>
    <row r="77" spans="1:19">
      <c r="A77" s="597" t="s">
        <v>175</v>
      </c>
      <c r="B77" s="340">
        <v>0.20144201783549701</v>
      </c>
      <c r="C77" s="340">
        <v>0.42960915907224401</v>
      </c>
      <c r="D77" s="340">
        <v>0.234657995081337</v>
      </c>
      <c r="E77" s="340">
        <v>0.13429082801092601</v>
      </c>
      <c r="F77" s="484">
        <v>1.0479503627805999</v>
      </c>
      <c r="G77" s="484">
        <v>25.7831641084545</v>
      </c>
      <c r="H77" s="484">
        <v>34.376875967699497</v>
      </c>
      <c r="I77" s="484">
        <v>16.065937319903</v>
      </c>
      <c r="J77" s="484">
        <v>16.491804247280999</v>
      </c>
      <c r="K77" s="484">
        <v>16.0045195177713</v>
      </c>
      <c r="L77" s="484">
        <v>7.6753903888325601</v>
      </c>
      <c r="M77" s="484">
        <v>4.2030493235189699</v>
      </c>
      <c r="N77" s="484">
        <v>1.18373370081353</v>
      </c>
      <c r="O77" s="484">
        <v>45.800596674816603</v>
      </c>
      <c r="Q77" s="292"/>
      <c r="R77" s="292"/>
      <c r="S77" s="292"/>
    </row>
    <row r="78" spans="1:19">
      <c r="A78" s="597" t="s">
        <v>176</v>
      </c>
      <c r="B78" s="340">
        <v>0.35656795138962999</v>
      </c>
      <c r="C78" s="340">
        <v>0.37596802206463897</v>
      </c>
      <c r="D78" s="340">
        <v>0.19293165325637701</v>
      </c>
      <c r="E78" s="340">
        <v>7.4532373289357995E-2</v>
      </c>
      <c r="F78" s="484">
        <v>1.1119709144727801</v>
      </c>
      <c r="G78" s="484">
        <v>21.108228356902799</v>
      </c>
      <c r="H78" s="484">
        <v>40.6661907206108</v>
      </c>
      <c r="I78" s="484">
        <v>12.878018031915101</v>
      </c>
      <c r="J78" s="484">
        <v>16.350964428173299</v>
      </c>
      <c r="K78" s="484">
        <v>15.169070771890899</v>
      </c>
      <c r="L78" s="484">
        <v>10.5488697157822</v>
      </c>
      <c r="M78" s="484">
        <v>3.4747705822416899</v>
      </c>
      <c r="N78" s="484">
        <v>1.1611414676793601</v>
      </c>
      <c r="O78" s="484">
        <v>35.381845549784202</v>
      </c>
      <c r="Q78" s="292"/>
      <c r="R78" s="292"/>
      <c r="S78" s="292"/>
    </row>
    <row r="79" spans="1:19">
      <c r="A79" s="597" t="s">
        <v>177</v>
      </c>
      <c r="B79" s="340">
        <v>0.34308106371543201</v>
      </c>
      <c r="C79" s="340">
        <v>0.340766994918134</v>
      </c>
      <c r="D79" s="340">
        <v>0.249719210755104</v>
      </c>
      <c r="E79" s="340">
        <v>6.6432730611331495E-2</v>
      </c>
      <c r="F79" s="484">
        <v>1.0640983696196999</v>
      </c>
      <c r="G79" s="484">
        <v>25.893165686863298</v>
      </c>
      <c r="H79" s="484">
        <v>40.903108319873198</v>
      </c>
      <c r="I79" s="484">
        <v>12.3324659091949</v>
      </c>
      <c r="J79" s="484">
        <v>13.066452500095499</v>
      </c>
      <c r="K79" s="484">
        <v>16.6706325278926</v>
      </c>
      <c r="L79" s="484">
        <v>9.1180197683588595</v>
      </c>
      <c r="M79" s="484">
        <v>3.2167599025672202</v>
      </c>
      <c r="N79" s="484">
        <v>0.94923564689254702</v>
      </c>
      <c r="O79" s="484">
        <v>49.858889089419002</v>
      </c>
      <c r="Q79" s="292"/>
      <c r="R79" s="292"/>
      <c r="S79" s="292"/>
    </row>
    <row r="80" spans="1:19">
      <c r="A80" s="597" t="s">
        <v>351</v>
      </c>
      <c r="B80" s="340">
        <v>0.20743607486857801</v>
      </c>
      <c r="C80" s="340">
        <v>0.44095282208109599</v>
      </c>
      <c r="D80" s="340">
        <v>0.15388257047296999</v>
      </c>
      <c r="E80" s="340">
        <v>0.19772853257735501</v>
      </c>
      <c r="F80" s="484">
        <v>1.0551214750035101</v>
      </c>
      <c r="G80" s="484">
        <v>22.653282864288599</v>
      </c>
      <c r="H80" s="484">
        <v>31.493815866499201</v>
      </c>
      <c r="I80" s="484">
        <v>14.264953792407301</v>
      </c>
      <c r="J80" s="484">
        <v>17.673730259004898</v>
      </c>
      <c r="K80" s="484">
        <v>18.421958607850701</v>
      </c>
      <c r="L80" s="484">
        <v>8.0249158082973207</v>
      </c>
      <c r="M80" s="484">
        <v>3.5641076102001201</v>
      </c>
      <c r="N80" s="484">
        <v>1.23108519379502</v>
      </c>
      <c r="O80" s="484">
        <v>39.084126014783799</v>
      </c>
      <c r="Q80" s="292"/>
      <c r="R80" s="292"/>
      <c r="S80" s="292"/>
    </row>
    <row r="81" spans="1:27">
      <c r="A81" s="597" t="s">
        <v>856</v>
      </c>
      <c r="B81" s="340">
        <v>0.30441278715258402</v>
      </c>
      <c r="C81" s="340">
        <v>0.46116855209031998</v>
      </c>
      <c r="D81" s="340">
        <v>0.12239950486633699</v>
      </c>
      <c r="E81" s="340">
        <v>0.11201915589075701</v>
      </c>
      <c r="F81" s="484">
        <v>1.1262137794912801</v>
      </c>
      <c r="G81" s="484">
        <v>21.7663225135495</v>
      </c>
      <c r="H81" s="484">
        <v>36.896786061219203</v>
      </c>
      <c r="I81" s="484">
        <v>16.5105927287395</v>
      </c>
      <c r="J81" s="484">
        <v>14.182995776660499</v>
      </c>
      <c r="K81" s="484">
        <v>16.688536858798798</v>
      </c>
      <c r="L81" s="484">
        <v>9.6149970845179507</v>
      </c>
      <c r="M81" s="484">
        <v>4.37508056769558</v>
      </c>
      <c r="N81" s="484">
        <v>1.02748623836537</v>
      </c>
      <c r="O81" s="484">
        <v>37.654257787126198</v>
      </c>
    </row>
    <row r="82" spans="1:27">
      <c r="A82" s="597" t="s">
        <v>178</v>
      </c>
      <c r="B82" s="340">
        <v>0.14495084252009399</v>
      </c>
      <c r="C82" s="340">
        <v>0.41738944755492802</v>
      </c>
      <c r="D82" s="340">
        <v>0.19041281526176401</v>
      </c>
      <c r="E82" s="340">
        <v>0.24724689466321001</v>
      </c>
      <c r="F82" s="484">
        <v>1.03736135709889</v>
      </c>
      <c r="G82" s="484">
        <v>24.891086817770699</v>
      </c>
      <c r="H82" s="484">
        <v>27.920139858401299</v>
      </c>
      <c r="I82" s="484">
        <v>14.431828983545</v>
      </c>
      <c r="J82" s="484">
        <v>15.983360091648199</v>
      </c>
      <c r="K82" s="484">
        <v>18.887221595394902</v>
      </c>
      <c r="L82" s="484">
        <v>6.5315878083224597</v>
      </c>
      <c r="M82" s="484">
        <v>3.3028241770556601</v>
      </c>
      <c r="N82" s="484">
        <v>1.1225284715957899</v>
      </c>
      <c r="O82" s="484">
        <v>41.302813866563397</v>
      </c>
    </row>
    <row r="83" spans="1:27">
      <c r="A83" s="597" t="s">
        <v>179</v>
      </c>
      <c r="B83" s="340">
        <v>0.20131460612706201</v>
      </c>
      <c r="C83" s="340">
        <v>0.489977728558188</v>
      </c>
      <c r="D83" s="340">
        <v>0.18971964863066601</v>
      </c>
      <c r="E83" s="340">
        <v>0.118988016684084</v>
      </c>
      <c r="F83" s="484">
        <v>1.0689341266455501</v>
      </c>
      <c r="G83" s="484">
        <v>24.126288064480001</v>
      </c>
      <c r="H83" s="484">
        <v>34.581672105451297</v>
      </c>
      <c r="I83" s="484">
        <v>16.0709110981409</v>
      </c>
      <c r="J83" s="484">
        <v>12.537390552472999</v>
      </c>
      <c r="K83" s="484">
        <v>16.828062274926801</v>
      </c>
      <c r="L83" s="484">
        <v>8.3493698240903491</v>
      </c>
      <c r="M83" s="484">
        <v>4.1500908454541401</v>
      </c>
      <c r="N83" s="484">
        <v>0.902061570932714</v>
      </c>
      <c r="O83" s="484">
        <v>41.275858202045697</v>
      </c>
    </row>
    <row r="85" spans="1:27">
      <c r="G85" s="647" t="s">
        <v>828</v>
      </c>
      <c r="H85" s="647"/>
      <c r="I85" s="647"/>
      <c r="J85" s="647"/>
      <c r="K85" s="647" t="s">
        <v>829</v>
      </c>
      <c r="L85" s="647"/>
      <c r="M85" s="647"/>
      <c r="N85" s="647"/>
      <c r="O85" t="s">
        <v>658</v>
      </c>
    </row>
    <row r="86" spans="1:27" ht="35" thickBot="1">
      <c r="A86" s="8" t="s">
        <v>827</v>
      </c>
      <c r="B86" s="485" t="s">
        <v>10</v>
      </c>
      <c r="C86" s="486" t="s">
        <v>42</v>
      </c>
      <c r="D86" s="487" t="s">
        <v>12</v>
      </c>
      <c r="E86" s="488" t="s">
        <v>13</v>
      </c>
      <c r="F86" s="607" t="s">
        <v>1068</v>
      </c>
      <c r="G86" s="301" t="s">
        <v>10</v>
      </c>
      <c r="H86" s="251" t="s">
        <v>11</v>
      </c>
      <c r="I86" s="57" t="s">
        <v>12</v>
      </c>
      <c r="J86" s="58" t="s">
        <v>13</v>
      </c>
      <c r="K86" s="301" t="s">
        <v>10</v>
      </c>
      <c r="L86" s="251" t="s">
        <v>11</v>
      </c>
      <c r="M86" s="57" t="s">
        <v>12</v>
      </c>
      <c r="N86" s="58" t="s">
        <v>13</v>
      </c>
      <c r="O86" s="301" t="s">
        <v>10</v>
      </c>
    </row>
    <row r="87" spans="1:27">
      <c r="A87" s="107" t="s">
        <v>202</v>
      </c>
      <c r="B87" s="340" cm="1">
        <f t="array" ref="B87">SUM(B88:B102*'Clés de répartition'!$D$135:$D$149)/'Clés de répartition'!$D$134</f>
        <v>0.32748295562578961</v>
      </c>
      <c r="C87" s="340" cm="1">
        <f t="array" ref="C87">SUM(C88:C102*'Clés de répartition'!$D$135:$D$149)/'Clés de répartition'!$D$134</f>
        <v>0.38835643527658198</v>
      </c>
      <c r="D87" s="340" cm="1">
        <f t="array" ref="D87">SUM(D88:D102*'Clés de répartition'!$D$135:$D$149)/'Clés de répartition'!$D$134</f>
        <v>0.1630665920274422</v>
      </c>
      <c r="E87" s="340" cm="1">
        <f t="array" ref="E87">SUM(E88:E102*'Clés de répartition'!$D$135:$D$149)/'Clés de répartition'!$D$134</f>
        <v>0.12146015736439954</v>
      </c>
      <c r="F87" s="484" cm="1">
        <f t="array" ref="F87">SUM(F88:F102*'Clés de répartition'!$D$135:$D$149)/'Clés de répartition'!$D$134</f>
        <v>1.0929377604642281</v>
      </c>
      <c r="G87" s="484" cm="1">
        <f t="array" ref="G87">SUM(G88:G102*'Clés de répartition'!$D$135:$D$149)/'Clés de répartition'!$D$134</f>
        <v>22.981037436897815</v>
      </c>
      <c r="H87" s="484" cm="1">
        <f t="array" ref="H87">SUM(H88:H102*'Clés de répartition'!$D$135:$D$149)/'Clés de répartition'!$D$134</f>
        <v>38.889119193807126</v>
      </c>
      <c r="I87" s="484" cm="1">
        <f t="array" ref="I87">SUM(I88:I102*'Clés de répartition'!$D$135:$D$149)/'Clés de répartition'!$D$134</f>
        <v>12.06333590963396</v>
      </c>
      <c r="J87" s="484" cm="1">
        <f t="array" ref="J87">SUM(J88:J102*'Clés de répartition'!$D$135:$D$149)/'Clés de répartition'!$D$134</f>
        <v>15.443486666627914</v>
      </c>
      <c r="K87" s="484" cm="1">
        <f t="array" ref="K87">SUM(K88:K102*'Clés de répartition'!$D$135:$D$149)/'Clés de répartition'!$D$134</f>
        <v>15.77387680861373</v>
      </c>
      <c r="L87" s="484" cm="1">
        <f t="array" ref="L87">SUM(L88:L102*'Clés de répartition'!$D$135:$D$149)/'Clés de répartition'!$D$134</f>
        <v>10.074163362603851</v>
      </c>
      <c r="M87" s="484" cm="1">
        <f t="array" ref="M87">SUM(M88:M102*'Clés de répartition'!$D$135:$D$149)/'Clés de répartition'!$D$134</f>
        <v>3.1359694079596703</v>
      </c>
      <c r="N87" s="484" cm="1">
        <f t="array" ref="N87">SUM(N88:N102*'Clés de répartition'!$D$135:$D$149)/'Clés de répartition'!$D$134</f>
        <v>1.1058384539930508</v>
      </c>
      <c r="O87" s="484" cm="1">
        <f t="array" ref="O87">SUM(O88:O102*'Clés de répartition'!$D$135:$D$149)/'Clés de répartition'!$D$134</f>
        <v>39.417777745920702</v>
      </c>
    </row>
    <row r="88" spans="1:27">
      <c r="A88" s="19" t="s">
        <v>71</v>
      </c>
      <c r="B88" s="340">
        <v>0.42268096658871601</v>
      </c>
      <c r="C88" s="340">
        <v>0.26575276187404201</v>
      </c>
      <c r="D88" s="340">
        <v>0.194796118592586</v>
      </c>
      <c r="E88" s="340">
        <v>0.116770152944655</v>
      </c>
      <c r="F88" s="484">
        <v>1.1166698357735501</v>
      </c>
      <c r="G88" s="484">
        <v>19.917312559618399</v>
      </c>
      <c r="H88" s="484">
        <v>58.096988577362403</v>
      </c>
      <c r="I88" s="484">
        <v>8.8880529874430803</v>
      </c>
      <c r="J88" s="484">
        <v>14.3176879517518</v>
      </c>
      <c r="K88" s="484">
        <v>20.963676947535799</v>
      </c>
      <c r="L88" s="484">
        <v>24.155631751426199</v>
      </c>
      <c r="M88" s="484">
        <v>2.6830191803504899</v>
      </c>
      <c r="N88" s="484">
        <v>1.03853874131025</v>
      </c>
      <c r="O88" s="484">
        <v>29.600609220985699</v>
      </c>
      <c r="X88" s="20"/>
      <c r="Y88" s="20"/>
      <c r="Z88" s="20"/>
      <c r="AA88" s="20"/>
    </row>
    <row r="89" spans="1:27">
      <c r="A89" s="19" t="s">
        <v>72</v>
      </c>
      <c r="B89" s="340">
        <v>0.54675793923053895</v>
      </c>
      <c r="C89" s="340">
        <v>0.31579795688285001</v>
      </c>
      <c r="D89" s="340">
        <v>0.11356176757560001</v>
      </c>
      <c r="E89" s="340">
        <v>2.38823363110117E-2</v>
      </c>
      <c r="F89" s="484">
        <v>1.17412187606456</v>
      </c>
      <c r="G89" s="484">
        <v>21.3004693052013</v>
      </c>
      <c r="H89" s="484">
        <v>46.308116280233499</v>
      </c>
      <c r="I89" s="484">
        <v>8.8241717456148994</v>
      </c>
      <c r="J89" s="484">
        <v>12.228569366247999</v>
      </c>
      <c r="K89" s="484">
        <v>20.3785547859041</v>
      </c>
      <c r="L89" s="484">
        <v>17.3840217257803</v>
      </c>
      <c r="M89" s="484">
        <v>2.6565869467867902</v>
      </c>
      <c r="N89" s="484">
        <v>0.90744911216977098</v>
      </c>
      <c r="O89" s="484">
        <v>34.072819078667301</v>
      </c>
      <c r="X89" s="20"/>
      <c r="Y89" s="20"/>
      <c r="Z89" s="20"/>
      <c r="AA89" s="20"/>
    </row>
    <row r="90" spans="1:27">
      <c r="A90" s="19" t="s">
        <v>73</v>
      </c>
      <c r="B90" s="340">
        <v>0.37744146768869102</v>
      </c>
      <c r="C90" s="340">
        <v>0.36156841122126399</v>
      </c>
      <c r="D90" s="340">
        <v>0.223234005464755</v>
      </c>
      <c r="E90" s="340">
        <v>3.7756115625290902E-2</v>
      </c>
      <c r="F90" s="484">
        <v>1.08892030130775</v>
      </c>
      <c r="G90" s="484">
        <v>22.922770033851599</v>
      </c>
      <c r="H90" s="484">
        <v>42.446271099963703</v>
      </c>
      <c r="I90" s="484">
        <v>10.6673271637044</v>
      </c>
      <c r="J90" s="484">
        <v>14.113383277338199</v>
      </c>
      <c r="K90" s="484">
        <v>12.666648417320999</v>
      </c>
      <c r="L90" s="484">
        <v>9.0731046990138609</v>
      </c>
      <c r="M90" s="484">
        <v>3.0308723555869199</v>
      </c>
      <c r="N90" s="484">
        <v>1.01404031646256</v>
      </c>
      <c r="O90" s="484">
        <v>40.5794738225784</v>
      </c>
      <c r="X90" s="20"/>
      <c r="Y90" s="20"/>
      <c r="Z90" s="20"/>
      <c r="AA90" s="20"/>
    </row>
    <row r="91" spans="1:27">
      <c r="A91" s="19" t="s">
        <v>74</v>
      </c>
      <c r="B91" s="340">
        <v>0.57830348645591001</v>
      </c>
      <c r="C91" s="340">
        <v>0.23950224167408299</v>
      </c>
      <c r="D91" s="340">
        <v>0.15856615675716701</v>
      </c>
      <c r="E91" s="340">
        <v>2.3628115112841699E-2</v>
      </c>
      <c r="F91" s="484">
        <v>1.1517959844374399</v>
      </c>
      <c r="G91" s="484">
        <v>22.772863032368399</v>
      </c>
      <c r="H91" s="484">
        <v>53.516344468392397</v>
      </c>
      <c r="I91" s="484">
        <v>9.1058710792525996</v>
      </c>
      <c r="J91" s="484">
        <v>16.347500445553401</v>
      </c>
      <c r="K91" s="484">
        <v>18.4586842204269</v>
      </c>
      <c r="L91" s="484">
        <v>16.16760508074</v>
      </c>
      <c r="M91" s="484">
        <v>2.5891787039762399</v>
      </c>
      <c r="N91" s="484">
        <v>1.1932602625794599</v>
      </c>
      <c r="O91" s="484">
        <v>39.189033026166797</v>
      </c>
      <c r="X91" s="20"/>
      <c r="Y91" s="20"/>
      <c r="Z91" s="20"/>
      <c r="AA91" s="20"/>
    </row>
    <row r="92" spans="1:27">
      <c r="A92" s="19" t="s">
        <v>86</v>
      </c>
      <c r="B92" s="340">
        <v>0.56446312907998897</v>
      </c>
      <c r="C92" s="340">
        <v>0.26237083973620301</v>
      </c>
      <c r="D92" s="340">
        <v>0.13216080495459701</v>
      </c>
      <c r="E92" s="340">
        <v>4.1005226229211399E-2</v>
      </c>
      <c r="F92" s="484">
        <v>1.11629616389551</v>
      </c>
      <c r="G92" s="484">
        <v>17.982194428490299</v>
      </c>
      <c r="H92" s="484">
        <v>45.8294010286846</v>
      </c>
      <c r="I92" s="484">
        <v>10.8855109918716</v>
      </c>
      <c r="J92" s="484">
        <v>22.6647437641723</v>
      </c>
      <c r="K92" s="484">
        <v>15.921245512559301</v>
      </c>
      <c r="L92" s="484">
        <v>16.002991548909801</v>
      </c>
      <c r="M92" s="484">
        <v>3.1173618570095099</v>
      </c>
      <c r="N92" s="484">
        <v>1.6402403628117901</v>
      </c>
      <c r="O92" s="484">
        <v>28.8126255632294</v>
      </c>
      <c r="X92" s="20"/>
      <c r="Y92" s="20"/>
      <c r="Z92" s="20"/>
      <c r="AA92" s="20"/>
    </row>
    <row r="93" spans="1:27">
      <c r="A93" s="19" t="s">
        <v>76</v>
      </c>
      <c r="B93" s="340">
        <v>0.25102403044642402</v>
      </c>
      <c r="C93" s="340">
        <v>0.459776703770439</v>
      </c>
      <c r="D93" s="340">
        <v>0.22247040398767301</v>
      </c>
      <c r="E93" s="340">
        <v>6.6728861795463307E-2</v>
      </c>
      <c r="F93" s="484">
        <v>1.0833737214791499</v>
      </c>
      <c r="G93" s="484">
        <v>18.215631775540398</v>
      </c>
      <c r="H93" s="484">
        <v>32.718770690705099</v>
      </c>
      <c r="I93" s="484">
        <v>12.678109993520501</v>
      </c>
      <c r="J93" s="484">
        <v>14.8265434466607</v>
      </c>
      <c r="K93" s="484">
        <v>11.932702649035001</v>
      </c>
      <c r="L93" s="484">
        <v>7.6143077736740201</v>
      </c>
      <c r="M93" s="484">
        <v>3.1952306266917798</v>
      </c>
      <c r="N93" s="484">
        <v>1.0355588306549299</v>
      </c>
      <c r="O93" s="484">
        <v>31.8197311787562</v>
      </c>
      <c r="X93" s="20"/>
      <c r="Y93" s="20"/>
      <c r="Z93" s="20"/>
      <c r="AA93" s="20"/>
    </row>
    <row r="94" spans="1:27">
      <c r="A94" s="19" t="s">
        <v>77</v>
      </c>
      <c r="B94" s="340">
        <v>0.64342268010073</v>
      </c>
      <c r="C94" s="340">
        <v>0.25149067556299698</v>
      </c>
      <c r="D94" s="340">
        <v>9.3052078968648103E-2</v>
      </c>
      <c r="E94" s="340">
        <v>1.20345653676244E-2</v>
      </c>
      <c r="F94" s="484">
        <v>1.1780650839556399</v>
      </c>
      <c r="G94" s="484">
        <v>21.973723204055101</v>
      </c>
      <c r="H94" s="484">
        <v>52.446949592822797</v>
      </c>
      <c r="I94" s="484">
        <v>8.8206206684955308</v>
      </c>
      <c r="J94" s="484">
        <v>20.429919062238302</v>
      </c>
      <c r="K94" s="484">
        <v>20.230979414136801</v>
      </c>
      <c r="L94" s="484">
        <v>16.8609984607731</v>
      </c>
      <c r="M94" s="484">
        <v>2.6676310280103999</v>
      </c>
      <c r="N94" s="484">
        <v>1.5338891989952601</v>
      </c>
      <c r="O94" s="484">
        <v>35.204961018147998</v>
      </c>
      <c r="X94" s="20"/>
      <c r="Y94" s="20"/>
      <c r="Z94" s="20"/>
      <c r="AA94" s="20"/>
    </row>
    <row r="95" spans="1:27">
      <c r="A95" s="19" t="s">
        <v>79</v>
      </c>
      <c r="B95" s="340" cm="1">
        <f t="array" ref="B95">SUM(B104:B122*'Clés de répartition'!$D$151:$D$169)/'Clés de répartition'!$D$142</f>
        <v>0.3098174453406306</v>
      </c>
      <c r="C95" s="340" cm="1">
        <f t="array" ref="C95">SUM(C104:C122*'Clés de répartition'!$D$151:$D$169)/'Clés de répartition'!$D$142</f>
        <v>0.39920803414590822</v>
      </c>
      <c r="D95" s="340" cm="1">
        <f t="array" ref="D95">SUM(D104:D122*'Clés de répartition'!$D$151:$D$169)/'Clés de répartition'!$D$142</f>
        <v>0.16145587189952665</v>
      </c>
      <c r="E95" s="340" cm="1">
        <f t="array" ref="E95">SUM(E104:E122*'Clés de répartition'!$D$151:$D$169)/'Clés de répartition'!$D$142</f>
        <v>0.12951864861393486</v>
      </c>
      <c r="F95" s="484" cm="1">
        <f t="array" ref="F95">SUM(F104:F122*'Clés de répartition'!$D$151:$D$169)/'Clés de répartition'!$D$142</f>
        <v>1.0887580932194694</v>
      </c>
      <c r="G95" s="484" cm="1">
        <f t="array" ref="G95">SUM(G104:G122*'Clés de répartition'!$D$151:$D$169)/'Clés de répartition'!$D$142</f>
        <v>23.198545488616361</v>
      </c>
      <c r="H95" s="484" cm="1">
        <f t="array" ref="H95">SUM(H104:H122*'Clés de répartition'!$D$151:$D$169)/'Clés de répartition'!$D$142</f>
        <v>38.070209760446915</v>
      </c>
      <c r="I95" s="484" cm="1">
        <f t="array" ref="I95">SUM(I104:I122*'Clés de répartition'!$D$151:$D$169)/'Clés de répartition'!$D$142</f>
        <v>12.254008151133249</v>
      </c>
      <c r="J95" s="484" cm="1">
        <f t="array" ref="J95">SUM(J104:J122*'Clés de répartition'!$D$151:$D$169)/'Clés de répartition'!$D$142</f>
        <v>15.261941214031411</v>
      </c>
      <c r="K95" s="484" cm="1">
        <f t="array" ref="K95">SUM(K104:K122*'Clés de répartition'!$D$151:$D$169)/'Clés de répartition'!$D$142</f>
        <v>15.671138515350087</v>
      </c>
      <c r="L95" s="484" cm="1">
        <f t="array" ref="L95">SUM(L104:L122*'Clés de répartition'!$D$151:$D$169)/'Clés de répartition'!$D$142</f>
        <v>9.6315737088988662</v>
      </c>
      <c r="M95" s="484" cm="1">
        <f t="array" ref="M95">SUM(M104:M122*'Clés de répartition'!$D$151:$D$169)/'Clés de répartition'!$D$142</f>
        <v>3.1639977047066568</v>
      </c>
      <c r="N95" s="484" cm="1">
        <f t="array" ref="N95">SUM(N104:N122*'Clés de répartition'!$D$151:$D$169)/'Clés de répartition'!$D$142</f>
        <v>1.0907467051621478</v>
      </c>
      <c r="O95" s="484" cm="1">
        <f t="array" ref="O95">SUM(O104:O122*'Clés de répartition'!$D$151:$D$169)/'Clés de répartition'!$D$142</f>
        <v>39.93181448450482</v>
      </c>
      <c r="X95" s="20"/>
      <c r="Y95" s="20"/>
      <c r="Z95" s="20"/>
      <c r="AA95" s="20"/>
    </row>
    <row r="96" spans="1:27">
      <c r="A96" s="19" t="s">
        <v>80</v>
      </c>
      <c r="B96" s="340">
        <v>0.45621741506273999</v>
      </c>
      <c r="C96" s="340">
        <v>0.32217756272904002</v>
      </c>
      <c r="D96" s="340">
        <v>0.140614060054678</v>
      </c>
      <c r="E96" s="340">
        <v>8.0990962153542997E-2</v>
      </c>
      <c r="F96" s="484">
        <v>1.0837301532740899</v>
      </c>
      <c r="G96" s="484">
        <v>25.351203415214801</v>
      </c>
      <c r="H96" s="484">
        <v>47.278305004388301</v>
      </c>
      <c r="I96" s="484">
        <v>9.1804234488557892</v>
      </c>
      <c r="J96" s="484">
        <v>12.8839126127535</v>
      </c>
      <c r="K96" s="484">
        <v>17.7725594302545</v>
      </c>
      <c r="L96" s="484">
        <v>14.4729784416719</v>
      </c>
      <c r="M96" s="484">
        <v>2.4675884437503801</v>
      </c>
      <c r="N96" s="484">
        <v>0.94787110902549698</v>
      </c>
      <c r="O96" s="484">
        <v>43.5741267117265</v>
      </c>
      <c r="X96" s="20"/>
      <c r="Y96" s="20"/>
      <c r="Z96" s="20"/>
      <c r="AA96" s="20"/>
    </row>
    <row r="97" spans="1:27">
      <c r="A97" s="19" t="s">
        <v>81</v>
      </c>
      <c r="B97" s="340">
        <v>0.36587861851168402</v>
      </c>
      <c r="C97" s="340">
        <v>0.436244967134433</v>
      </c>
      <c r="D97" s="340">
        <v>0.146949255749448</v>
      </c>
      <c r="E97" s="340">
        <v>5.0927158604434697E-2</v>
      </c>
      <c r="F97" s="484">
        <v>1.2060467523015099</v>
      </c>
      <c r="G97" s="484">
        <v>24.016964189663799</v>
      </c>
      <c r="H97" s="484">
        <v>39.085506415665797</v>
      </c>
      <c r="I97" s="484">
        <v>15.6310277458287</v>
      </c>
      <c r="J97" s="484">
        <v>15.8323695217312</v>
      </c>
      <c r="K97" s="484">
        <v>15.463979573110899</v>
      </c>
      <c r="L97" s="484">
        <v>8.4276389323794305</v>
      </c>
      <c r="M97" s="484">
        <v>4.3213064645732597</v>
      </c>
      <c r="N97" s="484">
        <v>1.1408710674668101</v>
      </c>
      <c r="O97" s="484">
        <v>39.592206395109699</v>
      </c>
      <c r="X97" s="20"/>
      <c r="Y97" s="20"/>
      <c r="Z97" s="20"/>
      <c r="AA97" s="20"/>
    </row>
    <row r="98" spans="1:27">
      <c r="A98" s="19" t="s">
        <v>78</v>
      </c>
      <c r="B98" s="340">
        <v>0.34401198665674598</v>
      </c>
      <c r="C98" s="340">
        <v>0.39503070062211199</v>
      </c>
      <c r="D98" s="340">
        <v>0.18424726529083399</v>
      </c>
      <c r="E98" s="340">
        <v>7.6710047430309999E-2</v>
      </c>
      <c r="F98" s="484">
        <v>1.0698079271487599</v>
      </c>
      <c r="G98" s="484">
        <v>19.034228361727202</v>
      </c>
      <c r="H98" s="484">
        <v>38.227665720959898</v>
      </c>
      <c r="I98" s="484">
        <v>13.3545040193854</v>
      </c>
      <c r="J98" s="484">
        <v>20.7625010723029</v>
      </c>
      <c r="K98" s="484">
        <v>13.430960438842501</v>
      </c>
      <c r="L98" s="484">
        <v>8.8152948611064197</v>
      </c>
      <c r="M98" s="484">
        <v>3.2008159654492201</v>
      </c>
      <c r="N98" s="484">
        <v>1.4629062378334901</v>
      </c>
      <c r="O98" s="484">
        <v>29.1890667533835</v>
      </c>
      <c r="X98" s="20"/>
      <c r="Y98" s="20"/>
      <c r="Z98" s="20"/>
      <c r="AA98" s="20"/>
    </row>
    <row r="99" spans="1:27">
      <c r="A99" s="19" t="s">
        <v>82</v>
      </c>
      <c r="B99" s="340">
        <v>0.50436401645876405</v>
      </c>
      <c r="C99" s="340">
        <v>0.20540014598185299</v>
      </c>
      <c r="D99" s="340">
        <v>0.222320112843578</v>
      </c>
      <c r="E99" s="340">
        <v>6.7915724715805106E-2</v>
      </c>
      <c r="F99" s="484">
        <v>1.093444600622</v>
      </c>
      <c r="G99" s="484">
        <v>18.954896078656098</v>
      </c>
      <c r="H99" s="484">
        <v>47.084461107935397</v>
      </c>
      <c r="I99" s="484">
        <v>9.4090923329245495</v>
      </c>
      <c r="J99" s="484">
        <v>15.908136396614299</v>
      </c>
      <c r="K99" s="484">
        <v>16.6872577165962</v>
      </c>
      <c r="L99" s="484">
        <v>16.596645973135399</v>
      </c>
      <c r="M99" s="484">
        <v>2.8219524520161299</v>
      </c>
      <c r="N99" s="484">
        <v>1.1778853688029001</v>
      </c>
      <c r="O99" s="484">
        <v>29.742923370709299</v>
      </c>
      <c r="X99" s="20"/>
      <c r="Y99" s="20"/>
      <c r="Z99" s="20"/>
      <c r="AA99" s="20"/>
    </row>
    <row r="100" spans="1:27">
      <c r="A100" s="19" t="s">
        <v>83</v>
      </c>
      <c r="B100" s="340">
        <v>0.60955279503105597</v>
      </c>
      <c r="C100" s="340">
        <v>0.24566149068323001</v>
      </c>
      <c r="D100" s="340">
        <v>8.4145962732919299E-2</v>
      </c>
      <c r="E100" s="340">
        <v>6.0639751552795003E-2</v>
      </c>
      <c r="F100" s="484">
        <v>1.2409575241225901</v>
      </c>
      <c r="G100" s="484">
        <v>20.8986590311602</v>
      </c>
      <c r="H100" s="484">
        <v>50.006753641876202</v>
      </c>
      <c r="I100" s="484">
        <v>7.1256984683521001</v>
      </c>
      <c r="J100" s="484">
        <v>10.076037078766801</v>
      </c>
      <c r="K100" s="484">
        <v>21.034458619494998</v>
      </c>
      <c r="L100" s="484">
        <v>16.595110172812699</v>
      </c>
      <c r="M100" s="484">
        <v>2.0870935596973599</v>
      </c>
      <c r="N100" s="484">
        <v>0.71967120762060799</v>
      </c>
      <c r="O100" s="484">
        <v>29.712883388697499</v>
      </c>
      <c r="X100" s="20"/>
      <c r="Y100" s="20"/>
      <c r="Z100" s="20"/>
      <c r="AA100" s="20"/>
    </row>
    <row r="101" spans="1:27">
      <c r="A101" s="19" t="s">
        <v>84</v>
      </c>
      <c r="B101" s="340">
        <v>0.61440654843110498</v>
      </c>
      <c r="C101" s="340">
        <v>0.18978171896316501</v>
      </c>
      <c r="D101" s="340">
        <v>0.19581173260573001</v>
      </c>
      <c r="E101" s="340">
        <v>0</v>
      </c>
      <c r="F101" s="484">
        <v>1.0724024447578799</v>
      </c>
      <c r="G101" s="484">
        <v>27.0085109690026</v>
      </c>
      <c r="H101" s="484">
        <v>91.775122804495297</v>
      </c>
      <c r="I101" s="484">
        <v>23.455744443670302</v>
      </c>
      <c r="J101" s="484">
        <v>0</v>
      </c>
      <c r="K101" s="484">
        <v>30.270385913491399</v>
      </c>
      <c r="L101" s="484">
        <v>35.780950327079303</v>
      </c>
      <c r="M101" s="484">
        <v>6.6646276039852301</v>
      </c>
      <c r="N101" s="484">
        <v>0</v>
      </c>
      <c r="O101" s="484">
        <v>38.727484678923503</v>
      </c>
      <c r="X101" s="20"/>
      <c r="Y101" s="20"/>
      <c r="Z101" s="20"/>
      <c r="AA101" s="20"/>
    </row>
    <row r="102" spans="1:27">
      <c r="A102" s="19" t="s">
        <v>85</v>
      </c>
      <c r="B102" s="340">
        <v>0.210283315691071</v>
      </c>
      <c r="C102" s="340">
        <v>0.34899029163171102</v>
      </c>
      <c r="D102" s="340">
        <v>0.28538371553353498</v>
      </c>
      <c r="E102" s="340">
        <v>0.155342677143681</v>
      </c>
      <c r="F102" s="484">
        <v>1.1093383620080799</v>
      </c>
      <c r="G102" s="484">
        <v>20.165441854798001</v>
      </c>
      <c r="H102" s="484">
        <v>28.759378115818599</v>
      </c>
      <c r="I102" s="484">
        <v>13.088631122625699</v>
      </c>
      <c r="J102" s="484">
        <v>21.2116746149931</v>
      </c>
      <c r="K102" s="484">
        <v>13.430539764320899</v>
      </c>
      <c r="L102" s="484">
        <v>6.4776948990422403</v>
      </c>
      <c r="M102" s="484">
        <v>3.05372622452514</v>
      </c>
      <c r="N102" s="484">
        <v>1.51083391453507</v>
      </c>
      <c r="O102" s="484">
        <v>35.972194739865301</v>
      </c>
      <c r="X102" s="20"/>
      <c r="Y102" s="20"/>
      <c r="Z102" s="20"/>
      <c r="AA102" s="20"/>
    </row>
    <row r="103" spans="1:27">
      <c r="A103" s="107" t="s">
        <v>585</v>
      </c>
      <c r="B103" s="573"/>
      <c r="C103" s="573"/>
      <c r="D103" s="573"/>
      <c r="E103" s="573"/>
      <c r="F103" s="606"/>
      <c r="G103" s="606"/>
      <c r="H103" s="606"/>
      <c r="I103" s="606"/>
      <c r="J103" s="606"/>
      <c r="K103" s="606"/>
      <c r="L103" s="606"/>
      <c r="M103" s="606"/>
      <c r="N103" s="606"/>
      <c r="O103" s="606"/>
      <c r="X103" s="20"/>
      <c r="Y103" s="20"/>
      <c r="Z103" s="20"/>
      <c r="AA103" s="20"/>
    </row>
    <row r="104" spans="1:27">
      <c r="A104" s="597" t="s">
        <v>154</v>
      </c>
      <c r="B104" s="340">
        <v>0.34111216171825398</v>
      </c>
      <c r="C104" s="340">
        <v>0.39915670844061502</v>
      </c>
      <c r="D104" s="340">
        <v>0.15747353727441499</v>
      </c>
      <c r="E104" s="340">
        <v>0.102257592566714</v>
      </c>
      <c r="F104" s="484">
        <v>1.0928483318529201</v>
      </c>
      <c r="G104" s="484">
        <v>22.744239953575399</v>
      </c>
      <c r="H104" s="484">
        <v>40.0673919338806</v>
      </c>
      <c r="I104" s="484">
        <v>13.338478876485899</v>
      </c>
      <c r="J104" s="484">
        <v>14.280120331482101</v>
      </c>
      <c r="K104" s="484">
        <v>14.309915446732999</v>
      </c>
      <c r="L104" s="484">
        <v>10.2301731210041</v>
      </c>
      <c r="M104" s="484">
        <v>3.5122605288287398</v>
      </c>
      <c r="N104" s="484">
        <v>1.0280702466085501</v>
      </c>
      <c r="O104" s="484">
        <v>38.838132007073099</v>
      </c>
      <c r="X104" s="20"/>
      <c r="Y104" s="20"/>
      <c r="Z104" s="20"/>
      <c r="AA104" s="20"/>
    </row>
    <row r="105" spans="1:27">
      <c r="A105" s="597" t="s">
        <v>155</v>
      </c>
      <c r="B105" s="340">
        <v>0.40639480451760401</v>
      </c>
      <c r="C105" s="340">
        <v>0.32708211717130897</v>
      </c>
      <c r="D105" s="340">
        <v>0.15507848235212701</v>
      </c>
      <c r="E105" s="340">
        <v>0.111444595958959</v>
      </c>
      <c r="F105" s="484">
        <v>1.0881885500583199</v>
      </c>
      <c r="G105" s="484">
        <v>23.502236767345298</v>
      </c>
      <c r="H105" s="484">
        <v>42.977927554267602</v>
      </c>
      <c r="I105" s="484">
        <v>10.969277663833401</v>
      </c>
      <c r="J105" s="484">
        <v>14.560982512229099</v>
      </c>
      <c r="K105" s="484">
        <v>16.309711660389102</v>
      </c>
      <c r="L105" s="484">
        <v>11.3618510798294</v>
      </c>
      <c r="M105" s="484">
        <v>3.0301302088469102</v>
      </c>
      <c r="N105" s="484">
        <v>1.0631401834535099</v>
      </c>
      <c r="O105" s="484">
        <v>44.650021635818398</v>
      </c>
      <c r="X105" s="20"/>
      <c r="Y105" s="20"/>
      <c r="Z105" s="20"/>
      <c r="AA105" s="20"/>
    </row>
    <row r="106" spans="1:27">
      <c r="A106" s="597" t="s">
        <v>156</v>
      </c>
      <c r="B106" s="340">
        <v>0.227730690685019</v>
      </c>
      <c r="C106" s="340">
        <v>0.45703384761882399</v>
      </c>
      <c r="D106" s="340">
        <v>0.16099322122932699</v>
      </c>
      <c r="E106" s="340">
        <v>0.15424224046683099</v>
      </c>
      <c r="F106" s="484">
        <v>1.07201100469139</v>
      </c>
      <c r="G106" s="484">
        <v>21.091598956376</v>
      </c>
      <c r="H106" s="484">
        <v>32.668693860818699</v>
      </c>
      <c r="I106" s="484">
        <v>11.261868874921801</v>
      </c>
      <c r="J106" s="484">
        <v>16.929718973793101</v>
      </c>
      <c r="K106" s="484">
        <v>14.008927877201399</v>
      </c>
      <c r="L106" s="484">
        <v>7.5782830625451298</v>
      </c>
      <c r="M106" s="484">
        <v>2.7891298121318102</v>
      </c>
      <c r="N106" s="484">
        <v>1.1811430785408099</v>
      </c>
      <c r="O106" s="484">
        <v>35.289886004812097</v>
      </c>
      <c r="X106" s="20"/>
      <c r="Y106" s="20"/>
      <c r="Z106" s="20"/>
      <c r="AA106" s="20"/>
    </row>
    <row r="107" spans="1:27">
      <c r="A107" s="597" t="s">
        <v>403</v>
      </c>
      <c r="B107" s="340">
        <v>0.58734227473973599</v>
      </c>
      <c r="C107" s="340">
        <v>0.19901163414981299</v>
      </c>
      <c r="D107" s="340">
        <v>0.161910873938822</v>
      </c>
      <c r="E107" s="340">
        <v>5.1735217171628801E-2</v>
      </c>
      <c r="F107" s="484">
        <v>1.1234730500524599</v>
      </c>
      <c r="G107" s="484">
        <v>26.616633610607401</v>
      </c>
      <c r="H107" s="484">
        <v>58.258506684873801</v>
      </c>
      <c r="I107" s="484">
        <v>9.9332003536984104</v>
      </c>
      <c r="J107" s="484">
        <v>13.955559220317401</v>
      </c>
      <c r="K107" s="484">
        <v>21.888395091122</v>
      </c>
      <c r="L107" s="484">
        <v>18.0698357178753</v>
      </c>
      <c r="M107" s="484">
        <v>2.8879282424068</v>
      </c>
      <c r="N107" s="484">
        <v>1.0036683372617801</v>
      </c>
      <c r="O107" s="484">
        <v>42.980359528045902</v>
      </c>
      <c r="X107" s="20"/>
      <c r="Y107" s="20"/>
      <c r="Z107" s="20"/>
      <c r="AA107" s="20"/>
    </row>
    <row r="108" spans="1:27">
      <c r="A108" s="597" t="s">
        <v>168</v>
      </c>
      <c r="B108" s="340">
        <v>0.45377900260010601</v>
      </c>
      <c r="C108" s="340">
        <v>0.31202710370303099</v>
      </c>
      <c r="D108" s="340">
        <v>0.17552769889063999</v>
      </c>
      <c r="E108" s="340">
        <v>5.86661948062202E-2</v>
      </c>
      <c r="F108" s="484">
        <v>1.1345436301795699</v>
      </c>
      <c r="G108" s="484">
        <v>23.519811893081702</v>
      </c>
      <c r="H108" s="484">
        <v>44.684302846441099</v>
      </c>
      <c r="I108" s="484">
        <v>10.1835841754909</v>
      </c>
      <c r="J108" s="484">
        <v>10.4975995213999</v>
      </c>
      <c r="K108" s="484">
        <v>16.929675018469901</v>
      </c>
      <c r="L108" s="484">
        <v>11.6900931904506</v>
      </c>
      <c r="M108" s="484">
        <v>2.8396516675136798</v>
      </c>
      <c r="N108" s="484">
        <v>0.76136363636363602</v>
      </c>
      <c r="O108" s="484">
        <v>39.7888475671704</v>
      </c>
      <c r="X108" s="20"/>
      <c r="Y108" s="20"/>
      <c r="Z108" s="20"/>
      <c r="AA108" s="20"/>
    </row>
    <row r="109" spans="1:27">
      <c r="A109" s="597" t="s">
        <v>167</v>
      </c>
      <c r="B109" s="340">
        <v>0.446914577181099</v>
      </c>
      <c r="C109" s="340">
        <v>0.29636194091712098</v>
      </c>
      <c r="D109" s="340">
        <v>0.16200350859115101</v>
      </c>
      <c r="E109" s="340">
        <v>9.4719973310629701E-2</v>
      </c>
      <c r="F109" s="484">
        <v>1.08689295857117</v>
      </c>
      <c r="G109" s="484">
        <v>19.509809890532001</v>
      </c>
      <c r="H109" s="484">
        <v>44.026304574789798</v>
      </c>
      <c r="I109" s="484">
        <v>9.5380886106042304</v>
      </c>
      <c r="J109" s="484">
        <v>11.2605975253457</v>
      </c>
      <c r="K109" s="484">
        <v>15.6967828462602</v>
      </c>
      <c r="L109" s="484">
        <v>12.128002373344399</v>
      </c>
      <c r="M109" s="484">
        <v>2.7336632759253101</v>
      </c>
      <c r="N109" s="484">
        <v>0.81946737037685302</v>
      </c>
      <c r="O109" s="484">
        <v>32.584461143441899</v>
      </c>
      <c r="X109" s="20"/>
      <c r="Y109" s="20"/>
      <c r="Z109" s="20"/>
      <c r="AA109" s="20"/>
    </row>
    <row r="110" spans="1:27">
      <c r="A110" s="597" t="s">
        <v>170</v>
      </c>
      <c r="B110" s="340">
        <v>0.290421225072935</v>
      </c>
      <c r="C110" s="340">
        <v>0.45016523274769699</v>
      </c>
      <c r="D110" s="340">
        <v>0.158071995033917</v>
      </c>
      <c r="E110" s="340">
        <v>0.101341547145451</v>
      </c>
      <c r="F110" s="484">
        <v>1.0838175803922601</v>
      </c>
      <c r="G110" s="484">
        <v>23.5638537450236</v>
      </c>
      <c r="H110" s="484">
        <v>36.888194641980498</v>
      </c>
      <c r="I110" s="484">
        <v>12.9635208431327</v>
      </c>
      <c r="J110" s="484">
        <v>15.361647484103701</v>
      </c>
      <c r="K110" s="484">
        <v>15.2090182627599</v>
      </c>
      <c r="L110" s="484">
        <v>9.8366768958492905</v>
      </c>
      <c r="M110" s="484">
        <v>3.27699856930073</v>
      </c>
      <c r="N110" s="484">
        <v>1.0958180484226001</v>
      </c>
      <c r="O110" s="484">
        <v>42.345370662155602</v>
      </c>
      <c r="X110" s="20"/>
      <c r="Y110" s="20"/>
      <c r="Z110" s="20"/>
      <c r="AA110" s="20"/>
    </row>
    <row r="111" spans="1:27">
      <c r="A111" s="597" t="s">
        <v>171</v>
      </c>
      <c r="B111" s="340">
        <v>0.34413623356420397</v>
      </c>
      <c r="C111" s="340">
        <v>0.35096895029148401</v>
      </c>
      <c r="D111" s="340">
        <v>0.16388633788382201</v>
      </c>
      <c r="E111" s="340">
        <v>0.14100847826049001</v>
      </c>
      <c r="F111" s="484">
        <v>1.08823072316102</v>
      </c>
      <c r="G111" s="484">
        <v>26.1016544937176</v>
      </c>
      <c r="H111" s="484">
        <v>45.048830953750802</v>
      </c>
      <c r="I111" s="484">
        <v>9.7192295246351499</v>
      </c>
      <c r="J111" s="484">
        <v>11.837735930822999</v>
      </c>
      <c r="K111" s="484">
        <v>15.4235354252161</v>
      </c>
      <c r="L111" s="484">
        <v>11.120346753467601</v>
      </c>
      <c r="M111" s="484">
        <v>2.6373159471009</v>
      </c>
      <c r="N111" s="484">
        <v>0.85770711224541896</v>
      </c>
      <c r="O111" s="484">
        <v>45.799132641704396</v>
      </c>
      <c r="X111" s="20"/>
      <c r="Y111" s="20"/>
      <c r="Z111" s="20"/>
      <c r="AA111" s="20"/>
    </row>
    <row r="112" spans="1:27">
      <c r="A112" s="597" t="s">
        <v>172</v>
      </c>
      <c r="B112" s="340">
        <v>0.16764948641570099</v>
      </c>
      <c r="C112" s="340">
        <v>0.37557413279523399</v>
      </c>
      <c r="D112" s="340">
        <v>0.235811202026249</v>
      </c>
      <c r="E112" s="340">
        <v>0.22096517876281499</v>
      </c>
      <c r="F112" s="484">
        <v>1.0460854528816801</v>
      </c>
      <c r="G112" s="484">
        <v>22.9058123813275</v>
      </c>
      <c r="H112" s="484">
        <v>27.3346234973416</v>
      </c>
      <c r="I112" s="484">
        <v>14.2501971593177</v>
      </c>
      <c r="J112" s="484">
        <v>17.023575941251401</v>
      </c>
      <c r="K112" s="484">
        <v>13.320119216276399</v>
      </c>
      <c r="L112" s="484">
        <v>5.276481578426</v>
      </c>
      <c r="M112" s="484">
        <v>3.6588911851918402</v>
      </c>
      <c r="N112" s="484">
        <v>1.2215463662333701</v>
      </c>
      <c r="O112" s="484">
        <v>35.966771990053601</v>
      </c>
      <c r="X112" s="20"/>
      <c r="Y112" s="20"/>
      <c r="Z112" s="20"/>
      <c r="AA112" s="20"/>
    </row>
    <row r="113" spans="1:27">
      <c r="A113" s="597" t="s">
        <v>173</v>
      </c>
      <c r="B113" s="340">
        <v>0.57581564594941304</v>
      </c>
      <c r="C113" s="340">
        <v>0.25760827594334901</v>
      </c>
      <c r="D113" s="340">
        <v>0.12848003510855899</v>
      </c>
      <c r="E113" s="340">
        <v>3.8096042998680399E-2</v>
      </c>
      <c r="F113" s="484">
        <v>1.1519906109923499</v>
      </c>
      <c r="G113" s="484">
        <v>23.441512851155501</v>
      </c>
      <c r="H113" s="484">
        <v>60.674173197119202</v>
      </c>
      <c r="I113" s="484">
        <v>7.9344195169052902</v>
      </c>
      <c r="J113" s="484">
        <v>17.924277980176299</v>
      </c>
      <c r="K113" s="484">
        <v>18.478261534059399</v>
      </c>
      <c r="L113" s="484">
        <v>18.1618326151963</v>
      </c>
      <c r="M113" s="484">
        <v>2.32918483426623</v>
      </c>
      <c r="N113" s="484">
        <v>1.2948395172287499</v>
      </c>
      <c r="O113" s="484">
        <v>39.739755533487099</v>
      </c>
      <c r="X113" s="20"/>
      <c r="Y113" s="20"/>
      <c r="Z113" s="20"/>
      <c r="AA113" s="20"/>
    </row>
    <row r="114" spans="1:27">
      <c r="A114" s="597" t="s">
        <v>350</v>
      </c>
      <c r="B114" s="340">
        <v>0.148818569571538</v>
      </c>
      <c r="C114" s="340">
        <v>0.41227839100373298</v>
      </c>
      <c r="D114" s="340">
        <v>0.202568423697395</v>
      </c>
      <c r="E114" s="340">
        <v>0.236334615727334</v>
      </c>
      <c r="F114" s="484">
        <v>1.04408634626837</v>
      </c>
      <c r="G114" s="484">
        <v>25.3001652322904</v>
      </c>
      <c r="H114" s="484">
        <v>30.587088500155598</v>
      </c>
      <c r="I114" s="484">
        <v>14.6162632777026</v>
      </c>
      <c r="J114" s="484">
        <v>20.2578988646985</v>
      </c>
      <c r="K114" s="484">
        <v>15.302257193057899</v>
      </c>
      <c r="L114" s="484">
        <v>6.6331115570249404</v>
      </c>
      <c r="M114" s="484">
        <v>3.5928685606597801</v>
      </c>
      <c r="N114" s="484">
        <v>1.44742155184196</v>
      </c>
      <c r="O114" s="484">
        <v>40.114868833918102</v>
      </c>
      <c r="X114" s="20"/>
      <c r="Y114" s="20"/>
      <c r="Z114" s="20"/>
      <c r="AA114" s="20"/>
    </row>
    <row r="115" spans="1:27">
      <c r="A115" s="597" t="s">
        <v>174</v>
      </c>
      <c r="B115" s="340">
        <v>0.50905281581183004</v>
      </c>
      <c r="C115" s="340">
        <v>0.32363200602325398</v>
      </c>
      <c r="D115" s="340">
        <v>0.12516009121602301</v>
      </c>
      <c r="E115" s="340">
        <v>4.2155086948894999E-2</v>
      </c>
      <c r="F115" s="484">
        <v>1.1157869079381499</v>
      </c>
      <c r="G115" s="484">
        <v>25.952684137858402</v>
      </c>
      <c r="H115" s="484">
        <v>50.786867139422903</v>
      </c>
      <c r="I115" s="484">
        <v>9.6765472322962491</v>
      </c>
      <c r="J115" s="484">
        <v>14.017185257222501</v>
      </c>
      <c r="K115" s="484">
        <v>19.5622867112235</v>
      </c>
      <c r="L115" s="484">
        <v>14.658682632542501</v>
      </c>
      <c r="M115" s="484">
        <v>2.69418444429397</v>
      </c>
      <c r="N115" s="484">
        <v>1.0261234050710399</v>
      </c>
      <c r="O115" s="484">
        <v>47.638029267846903</v>
      </c>
      <c r="X115" s="20"/>
      <c r="Y115" s="20"/>
      <c r="Z115" s="20"/>
      <c r="AA115" s="20"/>
    </row>
    <row r="116" spans="1:27">
      <c r="A116" s="597" t="s">
        <v>175</v>
      </c>
      <c r="B116" s="340">
        <v>0.24599925346079601</v>
      </c>
      <c r="C116" s="340">
        <v>0.42684633392425803</v>
      </c>
      <c r="D116" s="340">
        <v>0.192863584604024</v>
      </c>
      <c r="E116" s="340">
        <v>0.13429082801092601</v>
      </c>
      <c r="F116" s="484">
        <v>1.0643662583662601</v>
      </c>
      <c r="G116" s="484">
        <v>24.491126926108901</v>
      </c>
      <c r="H116" s="484">
        <v>34.445511313872203</v>
      </c>
      <c r="I116" s="484">
        <v>14.4696660741662</v>
      </c>
      <c r="J116" s="484">
        <v>16.491804247280999</v>
      </c>
      <c r="K116" s="484">
        <v>14.2027965161891</v>
      </c>
      <c r="L116" s="484">
        <v>7.6845853001669804</v>
      </c>
      <c r="M116" s="484">
        <v>3.75888678078653</v>
      </c>
      <c r="N116" s="484">
        <v>1.18373370081353</v>
      </c>
      <c r="O116" s="484">
        <v>43.305164576007002</v>
      </c>
      <c r="X116" s="20"/>
      <c r="Y116" s="20"/>
      <c r="Z116" s="20"/>
      <c r="AA116" s="20"/>
    </row>
    <row r="117" spans="1:27">
      <c r="A117" s="597" t="s">
        <v>176</v>
      </c>
      <c r="B117" s="340">
        <v>0.39972638496076102</v>
      </c>
      <c r="C117" s="340">
        <v>0.37385059127664999</v>
      </c>
      <c r="D117" s="340">
        <v>0.15189065047323499</v>
      </c>
      <c r="E117" s="340">
        <v>7.4532373289357995E-2</v>
      </c>
      <c r="F117" s="484">
        <v>1.1428495372835099</v>
      </c>
      <c r="G117" s="484">
        <v>20.3301889875599</v>
      </c>
      <c r="H117" s="484">
        <v>40.767617483806603</v>
      </c>
      <c r="I117" s="484">
        <v>10.440481059469301</v>
      </c>
      <c r="J117" s="484">
        <v>16.350964428173299</v>
      </c>
      <c r="K117" s="484">
        <v>14.1844370539132</v>
      </c>
      <c r="L117" s="484">
        <v>10.5717332036155</v>
      </c>
      <c r="M117" s="484">
        <v>2.8036482680600998</v>
      </c>
      <c r="N117" s="484">
        <v>1.1611414676793601</v>
      </c>
      <c r="O117" s="484">
        <v>34.117719954512502</v>
      </c>
      <c r="X117" s="20"/>
      <c r="Y117" s="20"/>
      <c r="Z117" s="20"/>
      <c r="AA117" s="20"/>
    </row>
    <row r="118" spans="1:27">
      <c r="A118" s="597" t="s">
        <v>177</v>
      </c>
      <c r="B118" s="340">
        <v>0.39489473638800199</v>
      </c>
      <c r="C118" s="340">
        <v>0.340766994918134</v>
      </c>
      <c r="D118" s="340">
        <v>0.197905538082533</v>
      </c>
      <c r="E118" s="340">
        <v>6.6432730611331495E-2</v>
      </c>
      <c r="F118" s="484">
        <v>1.09550520157023</v>
      </c>
      <c r="G118" s="484">
        <v>24.495208311779098</v>
      </c>
      <c r="H118" s="484">
        <v>40.903108319873198</v>
      </c>
      <c r="I118" s="484">
        <v>9.7409763271879708</v>
      </c>
      <c r="J118" s="484">
        <v>13.066452500095499</v>
      </c>
      <c r="K118" s="484">
        <v>15.270655006288001</v>
      </c>
      <c r="L118" s="484">
        <v>9.1180197683588595</v>
      </c>
      <c r="M118" s="484">
        <v>2.5318953380126801</v>
      </c>
      <c r="N118" s="484">
        <v>0.94923564689254702</v>
      </c>
      <c r="O118" s="484">
        <v>46.5007282702921</v>
      </c>
      <c r="X118" s="20"/>
      <c r="Y118" s="20"/>
      <c r="Z118" s="20"/>
      <c r="AA118" s="20"/>
    </row>
    <row r="119" spans="1:27">
      <c r="A119" s="597" t="s">
        <v>351</v>
      </c>
      <c r="B119" s="340">
        <v>0.23208756989631299</v>
      </c>
      <c r="C119" s="340">
        <v>0.43732546848666698</v>
      </c>
      <c r="D119" s="340">
        <v>0.132858429039663</v>
      </c>
      <c r="E119" s="340">
        <v>0.19772853257735501</v>
      </c>
      <c r="F119" s="484">
        <v>1.06994435490038</v>
      </c>
      <c r="G119" s="484">
        <v>21.901246412286699</v>
      </c>
      <c r="H119" s="484">
        <v>31.530971108680902</v>
      </c>
      <c r="I119" s="484">
        <v>12.886754977087</v>
      </c>
      <c r="J119" s="484">
        <v>17.673730259004898</v>
      </c>
      <c r="K119" s="484">
        <v>17.105493078648799</v>
      </c>
      <c r="L119" s="484">
        <v>8.0325619113366908</v>
      </c>
      <c r="M119" s="484">
        <v>3.2094397688116998</v>
      </c>
      <c r="N119" s="484">
        <v>1.23108519379502</v>
      </c>
      <c r="O119" s="484">
        <v>37.490285582381702</v>
      </c>
      <c r="X119" s="20"/>
      <c r="Y119" s="20"/>
      <c r="Z119" s="20"/>
      <c r="AA119" s="20"/>
    </row>
    <row r="120" spans="1:27">
      <c r="A120" s="597" t="s">
        <v>856</v>
      </c>
      <c r="B120" s="340">
        <v>0.31965743754078102</v>
      </c>
      <c r="C120" s="340">
        <v>0.45719038113280103</v>
      </c>
      <c r="D120" s="340">
        <v>0.11113302543566</v>
      </c>
      <c r="E120" s="340">
        <v>0.11201915589075701</v>
      </c>
      <c r="F120" s="484">
        <v>1.1373084972157801</v>
      </c>
      <c r="G120" s="484">
        <v>21.4373197163229</v>
      </c>
      <c r="H120" s="484">
        <v>36.9762857040676</v>
      </c>
      <c r="I120" s="484">
        <v>16.077250733356099</v>
      </c>
      <c r="J120" s="484">
        <v>14.182995776660499</v>
      </c>
      <c r="K120" s="484">
        <v>16.183807349236801</v>
      </c>
      <c r="L120" s="484">
        <v>9.6393597546958105</v>
      </c>
      <c r="M120" s="484">
        <v>4.2614386373889097</v>
      </c>
      <c r="N120" s="484">
        <v>1.02748623836537</v>
      </c>
      <c r="O120" s="484">
        <v>36.899786318662301</v>
      </c>
      <c r="X120" s="20"/>
      <c r="Y120" s="20"/>
      <c r="Z120" s="20"/>
      <c r="AA120" s="20"/>
    </row>
    <row r="121" spans="1:27">
      <c r="A121" s="597" t="s">
        <v>178</v>
      </c>
      <c r="B121" s="340">
        <v>0.168815473396148</v>
      </c>
      <c r="C121" s="340">
        <v>0.413027623715085</v>
      </c>
      <c r="D121" s="340">
        <v>0.17091000822555399</v>
      </c>
      <c r="E121" s="340">
        <v>0.24724689466321001</v>
      </c>
      <c r="F121" s="484">
        <v>1.0555008232915899</v>
      </c>
      <c r="G121" s="484">
        <v>23.8768347891132</v>
      </c>
      <c r="H121" s="484">
        <v>27.9879431438304</v>
      </c>
      <c r="I121" s="484">
        <v>13.1858493631679</v>
      </c>
      <c r="J121" s="484">
        <v>15.983360091648199</v>
      </c>
      <c r="K121" s="484">
        <v>17.0773113048688</v>
      </c>
      <c r="L121" s="484">
        <v>6.5404742720471898</v>
      </c>
      <c r="M121" s="484">
        <v>2.98528137084375</v>
      </c>
      <c r="N121" s="484">
        <v>1.1225284715957899</v>
      </c>
      <c r="O121" s="484">
        <v>39.525569520306902</v>
      </c>
      <c r="X121" s="20"/>
      <c r="Y121" s="20"/>
      <c r="Z121" s="20"/>
      <c r="AA121" s="20"/>
    </row>
    <row r="122" spans="1:27">
      <c r="A122" s="597" t="s">
        <v>179</v>
      </c>
      <c r="B122" s="340">
        <v>0.243048727638734</v>
      </c>
      <c r="C122" s="340">
        <v>0.48675828998687598</v>
      </c>
      <c r="D122" s="340">
        <v>0.151204965690306</v>
      </c>
      <c r="E122" s="340">
        <v>0.118988016684084</v>
      </c>
      <c r="F122" s="484">
        <v>1.0943426544103001</v>
      </c>
      <c r="G122" s="484">
        <v>22.844598019296399</v>
      </c>
      <c r="H122" s="484">
        <v>34.670013297448797</v>
      </c>
      <c r="I122" s="484">
        <v>14.2459524010342</v>
      </c>
      <c r="J122" s="484">
        <v>12.537390552472999</v>
      </c>
      <c r="K122" s="484">
        <v>14.973064742437399</v>
      </c>
      <c r="L122" s="484">
        <v>8.3625293682979507</v>
      </c>
      <c r="M122" s="484">
        <v>3.6579314578785</v>
      </c>
      <c r="N122" s="484">
        <v>0.902061570932714</v>
      </c>
      <c r="O122" s="484">
        <v>39.109429759392299</v>
      </c>
      <c r="X122" s="20"/>
      <c r="Y122" s="20"/>
      <c r="Z122" s="20"/>
      <c r="AA122" s="20"/>
    </row>
    <row r="123" spans="1:27">
      <c r="X123" s="20"/>
      <c r="Y123" s="20"/>
      <c r="Z123" s="20"/>
      <c r="AA123" s="20"/>
    </row>
    <row r="130" spans="1:6" ht="17" thickBot="1">
      <c r="A130" s="8" t="s">
        <v>928</v>
      </c>
      <c r="B130" s="609" t="s">
        <v>10</v>
      </c>
      <c r="C130" s="610" t="s">
        <v>42</v>
      </c>
      <c r="D130" s="611" t="s">
        <v>12</v>
      </c>
      <c r="E130" s="612" t="s">
        <v>13</v>
      </c>
      <c r="F130" s="607" t="s">
        <v>1068</v>
      </c>
    </row>
    <row r="131" spans="1:6">
      <c r="A131" s="107" t="s">
        <v>202</v>
      </c>
      <c r="B131" s="340" cm="1">
        <f t="array" ref="B131">SUM(B132:B146*'Clés de répartition'!$D$135:$D$149)/'Clés de répartition'!$D$134</f>
        <v>0.51424519130886681</v>
      </c>
      <c r="C131" s="340" cm="1">
        <f t="array" ref="C131">SUM(C132:C146*'Clés de répartition'!$D$135:$D$149)/'Clés de répartition'!$D$134</f>
        <v>0.32234398256082369</v>
      </c>
      <c r="D131" s="340" cm="1">
        <f t="array" ref="D131">SUM(D132:D146*'Clés de répartition'!$D$135:$D$149)/'Clés de répartition'!$D$134</f>
        <v>3.3385092603295752E-2</v>
      </c>
      <c r="E131" s="340" cm="1">
        <f t="array" ref="E131">SUM(E132:E146*'Clés de répartition'!$D$135:$D$149)/'Clés de répartition'!$D$134</f>
        <v>0.13039187382122688</v>
      </c>
      <c r="F131" s="484">
        <f>'Clés de répartition'!K50</f>
        <v>1.247611535802376</v>
      </c>
    </row>
    <row r="132" spans="1:6">
      <c r="A132" s="19" t="s">
        <v>71</v>
      </c>
      <c r="B132" s="340">
        <v>0.71467349713390005</v>
      </c>
      <c r="C132" s="340">
        <v>0.186717296682612</v>
      </c>
      <c r="D132" s="340">
        <v>2.9401371191958101E-2</v>
      </c>
      <c r="E132" s="340">
        <v>6.9207834991529701E-2</v>
      </c>
      <c r="F132" s="484">
        <f>'Clés de répartition'!K51</f>
        <v>1.3695961703694599</v>
      </c>
    </row>
    <row r="133" spans="1:6">
      <c r="A133" s="19" t="s">
        <v>72</v>
      </c>
      <c r="B133" s="340">
        <v>0.71835303967205899</v>
      </c>
      <c r="C133" s="340">
        <v>0.23153612720451699</v>
      </c>
      <c r="D133" s="340">
        <v>9.6156637743033593E-3</v>
      </c>
      <c r="E133" s="340">
        <v>4.0495169349120903E-2</v>
      </c>
      <c r="F133" s="484">
        <f>'Clés de répartition'!K52</f>
        <v>1.3209985952376799</v>
      </c>
    </row>
    <row r="134" spans="1:6">
      <c r="A134" s="19" t="s">
        <v>73</v>
      </c>
      <c r="B134" s="340">
        <v>0.59616269664413701</v>
      </c>
      <c r="C134" s="340">
        <v>0.34234574670121898</v>
      </c>
      <c r="D134" s="340">
        <v>1.1537509349478E-2</v>
      </c>
      <c r="E134" s="340">
        <v>4.9954047305166602E-2</v>
      </c>
      <c r="F134" s="484">
        <f>'Clés de répartition'!K53</f>
        <v>1.3581186217214001</v>
      </c>
    </row>
    <row r="135" spans="1:6">
      <c r="A135" s="19" t="s">
        <v>74</v>
      </c>
      <c r="B135" s="340">
        <v>0.78497621765129799</v>
      </c>
      <c r="C135" s="340">
        <v>0.17962582201336799</v>
      </c>
      <c r="D135" s="340">
        <v>5.41071109822214E-3</v>
      </c>
      <c r="E135" s="340">
        <v>2.9987249237111401E-2</v>
      </c>
      <c r="F135" s="484">
        <f>'Clés de répartition'!K54</f>
        <v>1.30606828243958</v>
      </c>
    </row>
    <row r="136" spans="1:6">
      <c r="A136" s="19" t="s">
        <v>86</v>
      </c>
      <c r="B136" s="340">
        <v>0.74498266826107296</v>
      </c>
      <c r="C136" s="340">
        <v>0.18641796324819301</v>
      </c>
      <c r="D136" s="340">
        <v>1.9186591513465901E-2</v>
      </c>
      <c r="E136" s="340">
        <v>4.9412776977269299E-2</v>
      </c>
      <c r="F136" s="484">
        <f>'Clés de répartition'!K55</f>
        <v>1.21406463985462</v>
      </c>
    </row>
    <row r="137" spans="1:6">
      <c r="A137" s="19" t="s">
        <v>76</v>
      </c>
      <c r="B137" s="340">
        <v>0.50438824038204699</v>
      </c>
      <c r="C137" s="340">
        <v>0.39138681697668898</v>
      </c>
      <c r="D137" s="340">
        <v>1.5967334598950701E-2</v>
      </c>
      <c r="E137" s="340">
        <v>8.8257608042313099E-2</v>
      </c>
      <c r="F137" s="484">
        <f>'Clés de répartition'!K56</f>
        <v>1.35011687557849</v>
      </c>
    </row>
    <row r="138" spans="1:6">
      <c r="A138" s="19" t="s">
        <v>77</v>
      </c>
      <c r="B138" s="340">
        <v>0.77991612510550301</v>
      </c>
      <c r="C138" s="340">
        <v>0.20202763131259399</v>
      </c>
      <c r="D138" s="340">
        <v>3.0752342568888999E-3</v>
      </c>
      <c r="E138" s="340">
        <v>1.4981009325013899E-2</v>
      </c>
      <c r="F138" s="484">
        <f>'Clés de répartition'!K57</f>
        <v>1.2564026753164701</v>
      </c>
    </row>
    <row r="139" spans="1:6">
      <c r="A139" s="19" t="s">
        <v>79</v>
      </c>
      <c r="B139" s="340" cm="1">
        <f t="array" ref="B139">SUM(B148:B166*'Clés de répartition'!$D$151:$D$169)/'Clés de répartition'!$D$142</f>
        <v>0.49375742829338509</v>
      </c>
      <c r="C139" s="340" cm="1">
        <f t="array" ref="C139">SUM(C148:C166*'Clés de répartition'!$D$151:$D$169)/'Clés de répartition'!$D$142</f>
        <v>0.33220221190849131</v>
      </c>
      <c r="D139" s="340" cm="1">
        <f t="array" ref="D139">SUM(D148:D166*'Clés de répartition'!$D$151:$D$169)/'Clés de répartition'!$D$142</f>
        <v>3.5552369565888656E-2</v>
      </c>
      <c r="E139" s="340" cm="1">
        <f t="array" ref="E139">SUM(E148:E166*'Clés de répartition'!$D$151:$D$169)/'Clés de répartition'!$D$142</f>
        <v>0.13848799023223518</v>
      </c>
      <c r="F139" s="484">
        <f>'Clés de répartition'!K58</f>
        <v>1.2402673924864018</v>
      </c>
    </row>
    <row r="140" spans="1:6">
      <c r="A140" s="19" t="s">
        <v>80</v>
      </c>
      <c r="B140" s="340">
        <v>0.63477840840253996</v>
      </c>
      <c r="C140" s="340">
        <v>0.27119218421348701</v>
      </c>
      <c r="D140" s="340">
        <v>8.0094629743661192E-3</v>
      </c>
      <c r="E140" s="340">
        <v>8.6019944409606905E-2</v>
      </c>
      <c r="F140" s="484">
        <f>'Clés de répartition'!K59</f>
        <v>1.1746237541954601</v>
      </c>
    </row>
    <row r="141" spans="1:6">
      <c r="A141" s="19" t="s">
        <v>81</v>
      </c>
      <c r="B141" s="340">
        <v>0.52556199567485795</v>
      </c>
      <c r="C141" s="340">
        <v>0.38839915261601499</v>
      </c>
      <c r="D141" s="340">
        <v>2.3403778731409499E-2</v>
      </c>
      <c r="E141" s="340">
        <v>6.2635072977717199E-2</v>
      </c>
      <c r="F141" s="484">
        <f>'Clés de répartition'!K60</f>
        <v>1.4945495543106799</v>
      </c>
    </row>
    <row r="142" spans="1:6">
      <c r="A142" s="19" t="s">
        <v>78</v>
      </c>
      <c r="B142" s="340">
        <v>0.54285212848932796</v>
      </c>
      <c r="C142" s="340">
        <v>0.33502528559819</v>
      </c>
      <c r="D142" s="340">
        <v>2.5677839034279101E-2</v>
      </c>
      <c r="E142" s="340">
        <v>9.6444746878203105E-2</v>
      </c>
      <c r="F142" s="484">
        <f>'Clés de répartition'!K61</f>
        <v>1.2984416592364201</v>
      </c>
    </row>
    <row r="143" spans="1:6">
      <c r="A143" s="19" t="s">
        <v>82</v>
      </c>
      <c r="B143" s="340">
        <v>0.773235701324405</v>
      </c>
      <c r="C143" s="340">
        <v>0.13359526302066799</v>
      </c>
      <c r="D143" s="340">
        <v>1.6327582961505601E-2</v>
      </c>
      <c r="E143" s="340">
        <v>7.6841452693421394E-2</v>
      </c>
      <c r="F143" s="484">
        <f>'Clés de répartition'!K62</f>
        <v>1.2442108878584901</v>
      </c>
    </row>
    <row r="144" spans="1:6">
      <c r="A144" s="19" t="s">
        <v>83</v>
      </c>
      <c r="B144" s="340">
        <v>0.71467349713390005</v>
      </c>
      <c r="C144" s="340">
        <v>0.186717296682612</v>
      </c>
      <c r="D144" s="340">
        <v>2.9401371191958101E-2</v>
      </c>
      <c r="E144" s="340">
        <v>6.9207834991529701E-2</v>
      </c>
      <c r="F144" s="484">
        <f>'Clés de répartition'!K63</f>
        <v>1.2612643325492301</v>
      </c>
    </row>
    <row r="145" spans="1:6">
      <c r="A145" s="19" t="s">
        <v>84</v>
      </c>
      <c r="B145" s="340">
        <v>0.71467349713390005</v>
      </c>
      <c r="C145" s="340">
        <v>0.186717296682612</v>
      </c>
      <c r="D145" s="340">
        <v>2.9401371191958101E-2</v>
      </c>
      <c r="E145" s="340">
        <v>6.9207834991529701E-2</v>
      </c>
      <c r="F145" s="484">
        <f>'Clés de répartition'!K64</f>
        <v>1.0987916984464701</v>
      </c>
    </row>
    <row r="146" spans="1:6">
      <c r="A146" s="19" t="s">
        <v>85</v>
      </c>
      <c r="B146" s="340">
        <v>0.51028612549656505</v>
      </c>
      <c r="C146" s="340">
        <v>0.30546066704168001</v>
      </c>
      <c r="D146" s="340">
        <v>3.3431603948011597E-2</v>
      </c>
      <c r="E146" s="340">
        <v>0.15082160351374399</v>
      </c>
      <c r="F146" s="484">
        <f>'Clés de répartition'!K65</f>
        <v>1.47542893106574</v>
      </c>
    </row>
    <row r="147" spans="1:6">
      <c r="A147" s="19" t="s">
        <v>585</v>
      </c>
      <c r="B147" s="463"/>
      <c r="C147" s="463"/>
      <c r="D147" s="463"/>
      <c r="E147" s="463"/>
      <c r="F147" s="463"/>
    </row>
    <row r="148" spans="1:6">
      <c r="A148" s="597" t="s">
        <v>154</v>
      </c>
      <c r="B148" s="340">
        <v>0.53922818042661402</v>
      </c>
      <c r="C148" s="340">
        <v>0.32436816223324899</v>
      </c>
      <c r="D148" s="340">
        <v>3.2402251008254099E-2</v>
      </c>
      <c r="E148" s="340">
        <v>0.104001406331883</v>
      </c>
      <c r="F148" s="484">
        <f>'Clés de répartition'!K67</f>
        <v>1.2524335480406801</v>
      </c>
    </row>
    <row r="149" spans="1:6">
      <c r="A149" s="597" t="s">
        <v>155</v>
      </c>
      <c r="B149" s="340">
        <v>0.611650505985327</v>
      </c>
      <c r="C149" s="340">
        <v>0.26634522059016902</v>
      </c>
      <c r="D149" s="340">
        <v>1.6110652611844599E-2</v>
      </c>
      <c r="E149" s="340">
        <v>0.105893620812659</v>
      </c>
      <c r="F149" s="484">
        <f>'Clés de répartition'!K68</f>
        <v>1.23148005517925</v>
      </c>
    </row>
    <row r="150" spans="1:6">
      <c r="A150" s="597" t="s">
        <v>156</v>
      </c>
      <c r="B150" s="340">
        <v>0.41330781192237698</v>
      </c>
      <c r="C150" s="340">
        <v>0.38515130942475401</v>
      </c>
      <c r="D150" s="340">
        <v>2.0828087554883998E-2</v>
      </c>
      <c r="E150" s="340">
        <v>0.18071279109798599</v>
      </c>
      <c r="F150" s="484">
        <f>'Clés de répartition'!K69</f>
        <v>1.3439235839571</v>
      </c>
    </row>
    <row r="151" spans="1:6">
      <c r="A151" s="597" t="s">
        <v>403</v>
      </c>
      <c r="B151" s="340">
        <v>0.79485975709117596</v>
      </c>
      <c r="C151" s="340">
        <v>0.147913219873094</v>
      </c>
      <c r="D151" s="340">
        <v>4.4350543143218402E-3</v>
      </c>
      <c r="E151" s="340">
        <v>5.2791968721407997E-2</v>
      </c>
      <c r="F151" s="484">
        <f>'Clés de répartition'!K70</f>
        <v>1.2184282330610201</v>
      </c>
    </row>
    <row r="152" spans="1:6">
      <c r="A152" s="597" t="s">
        <v>168</v>
      </c>
      <c r="B152" s="340">
        <v>0.625849745660783</v>
      </c>
      <c r="C152" s="340">
        <v>0.25635848868136102</v>
      </c>
      <c r="D152" s="340">
        <v>1.49231360313606E-2</v>
      </c>
      <c r="E152" s="340">
        <v>0.102868629626495</v>
      </c>
      <c r="F152" s="484">
        <f>'Clés de répartition'!K71</f>
        <v>1.2685301008210299</v>
      </c>
    </row>
    <row r="153" spans="1:6">
      <c r="A153" s="597" t="s">
        <v>167</v>
      </c>
      <c r="B153" s="340">
        <v>0.64618211697943195</v>
      </c>
      <c r="C153" s="340">
        <v>0.26762000670899799</v>
      </c>
      <c r="D153" s="340">
        <v>1.1692052451345501E-2</v>
      </c>
      <c r="E153" s="340">
        <v>7.4505823860226306E-2</v>
      </c>
      <c r="F153" s="484">
        <f>'Clés de répartition'!K72</f>
        <v>1.2423881036042801</v>
      </c>
    </row>
    <row r="154" spans="1:6">
      <c r="A154" s="597" t="s">
        <v>170</v>
      </c>
      <c r="B154" s="340">
        <v>0.454912498028816</v>
      </c>
      <c r="C154" s="340">
        <v>0.39170086967799</v>
      </c>
      <c r="D154" s="340">
        <v>3.8031194272299298E-2</v>
      </c>
      <c r="E154" s="340">
        <v>0.115355438020895</v>
      </c>
      <c r="F154" s="484">
        <f>'Clés de répartition'!K73</f>
        <v>1.2319927716349199</v>
      </c>
    </row>
    <row r="155" spans="1:6">
      <c r="A155" s="597" t="s">
        <v>171</v>
      </c>
      <c r="B155" s="340">
        <v>0.53899100840382297</v>
      </c>
      <c r="C155" s="340">
        <v>0.31615435216202098</v>
      </c>
      <c r="D155" s="340">
        <v>6.7176544874348399E-3</v>
      </c>
      <c r="E155" s="340">
        <v>0.138136984946722</v>
      </c>
      <c r="F155" s="484">
        <f>'Clés de répartition'!K74</f>
        <v>1.2829842548803401</v>
      </c>
    </row>
    <row r="156" spans="1:6">
      <c r="A156" s="597" t="s">
        <v>172</v>
      </c>
      <c r="B156" s="340">
        <v>0.38681442689078199</v>
      </c>
      <c r="C156" s="340">
        <v>0.28149513298664902</v>
      </c>
      <c r="D156" s="340">
        <v>7.7397904679187293E-2</v>
      </c>
      <c r="E156" s="340">
        <v>0.25429253544338198</v>
      </c>
      <c r="F156" s="484">
        <f>'Clés de répartition'!K75</f>
        <v>1.2423016314070601</v>
      </c>
    </row>
    <row r="157" spans="1:6">
      <c r="A157" s="597" t="s">
        <v>173</v>
      </c>
      <c r="B157" s="340">
        <v>0.77126775841217698</v>
      </c>
      <c r="C157" s="340">
        <v>0.18414470524148499</v>
      </c>
      <c r="D157" s="340">
        <v>4.7603187317426798E-3</v>
      </c>
      <c r="E157" s="340">
        <v>3.9827217614595699E-2</v>
      </c>
      <c r="F157" s="484">
        <f>'Clés de répartition'!K76</f>
        <v>1.311674685971</v>
      </c>
    </row>
    <row r="158" spans="1:6">
      <c r="A158" s="597" t="s">
        <v>350</v>
      </c>
      <c r="B158" s="340">
        <v>0.290976278820819</v>
      </c>
      <c r="C158" s="340">
        <v>0.35485462407186802</v>
      </c>
      <c r="D158" s="340">
        <v>0.10333194397730899</v>
      </c>
      <c r="E158" s="340">
        <v>0.25083715313000399</v>
      </c>
      <c r="F158" s="484">
        <f>'Clés de répartition'!K77</f>
        <v>1.1481527030890799</v>
      </c>
    </row>
    <row r="159" spans="1:6">
      <c r="A159" s="597" t="s">
        <v>174</v>
      </c>
      <c r="B159" s="340">
        <v>0.69067051098878796</v>
      </c>
      <c r="C159" s="340">
        <v>0.26291641642239999</v>
      </c>
      <c r="D159" s="340">
        <v>3.2443897380830498E-3</v>
      </c>
      <c r="E159" s="340">
        <v>4.3168682850729598E-2</v>
      </c>
      <c r="F159" s="484">
        <f>'Clés de répartition'!K78</f>
        <v>1.24309574689677</v>
      </c>
    </row>
    <row r="160" spans="1:6">
      <c r="A160" s="597" t="s">
        <v>175</v>
      </c>
      <c r="B160" s="340">
        <v>0.40651207751052099</v>
      </c>
      <c r="C160" s="340">
        <v>0.34826864316210199</v>
      </c>
      <c r="D160" s="340">
        <v>7.5276289751789696E-2</v>
      </c>
      <c r="E160" s="340">
        <v>0.16994298957558701</v>
      </c>
      <c r="F160" s="484">
        <f>'Clés de répartition'!K79</f>
        <v>1.2040219761240101</v>
      </c>
    </row>
    <row r="161" spans="1:6">
      <c r="A161" s="597" t="s">
        <v>176</v>
      </c>
      <c r="B161" s="340">
        <v>0.66460837428533404</v>
      </c>
      <c r="C161" s="340">
        <v>0.26185645639357202</v>
      </c>
      <c r="D161" s="340">
        <v>1.04262521857026E-2</v>
      </c>
      <c r="E161" s="340">
        <v>6.3108917135390602E-2</v>
      </c>
      <c r="F161" s="484">
        <f>'Clés de répartition'!K80</f>
        <v>1.2727003236169701</v>
      </c>
    </row>
    <row r="162" spans="1:6">
      <c r="A162" s="597" t="s">
        <v>177</v>
      </c>
      <c r="B162" s="340">
        <v>0.65868869731795698</v>
      </c>
      <c r="C162" s="340">
        <v>0.26879333120785198</v>
      </c>
      <c r="D162" s="340">
        <v>4.1680512924755098E-3</v>
      </c>
      <c r="E162" s="340">
        <v>6.8349920181715804E-2</v>
      </c>
      <c r="F162" s="484">
        <f>'Clés de répartition'!K81</f>
        <v>1.2918743956221499</v>
      </c>
    </row>
    <row r="163" spans="1:6">
      <c r="A163" s="597" t="s">
        <v>351</v>
      </c>
      <c r="B163" s="340">
        <v>0.39878812614203901</v>
      </c>
      <c r="C163" s="340">
        <v>0.37269640529672998</v>
      </c>
      <c r="D163" s="340">
        <v>3.4287325516654102E-2</v>
      </c>
      <c r="E163" s="340">
        <v>0.194228143044577</v>
      </c>
      <c r="F163" s="484">
        <f>'Clés de répartition'!K82</f>
        <v>1.18081152567166</v>
      </c>
    </row>
    <row r="164" spans="1:6">
      <c r="A164" s="597" t="s">
        <v>856</v>
      </c>
      <c r="B164" s="340">
        <v>0.46777939536121499</v>
      </c>
      <c r="C164" s="340">
        <v>0.36049704179734698</v>
      </c>
      <c r="D164" s="340">
        <v>3.7440138796113999E-2</v>
      </c>
      <c r="E164" s="340">
        <v>0.13428342404532401</v>
      </c>
      <c r="F164" s="484">
        <f>'Clés de répartition'!K83</f>
        <v>1.2429556033504101</v>
      </c>
    </row>
    <row r="165" spans="1:6">
      <c r="A165" s="597" t="s">
        <v>178</v>
      </c>
      <c r="B165" s="340">
        <v>0.37646372261912298</v>
      </c>
      <c r="C165" s="340">
        <v>0.343035842702408</v>
      </c>
      <c r="D165" s="340">
        <v>3.6943972662538203E-2</v>
      </c>
      <c r="E165" s="340">
        <v>0.24355646201593101</v>
      </c>
      <c r="F165" s="484">
        <f>'Clés de répartition'!K84</f>
        <v>1.1519408444761401</v>
      </c>
    </row>
    <row r="166" spans="1:6">
      <c r="A166" s="597" t="s">
        <v>179</v>
      </c>
      <c r="B166" s="340">
        <v>0.38306955307314999</v>
      </c>
      <c r="C166" s="340">
        <v>0.43118036390277598</v>
      </c>
      <c r="D166" s="340">
        <v>5.8734102127227003E-2</v>
      </c>
      <c r="E166" s="340">
        <v>0.12701598089684599</v>
      </c>
      <c r="F166" s="484">
        <f>'Clés de répartition'!K85</f>
        <v>1.2392546336569801</v>
      </c>
    </row>
    <row r="168" spans="1:6" ht="17" thickBot="1">
      <c r="A168" s="8" t="s">
        <v>930</v>
      </c>
      <c r="B168" s="609" t="s">
        <v>10</v>
      </c>
      <c r="C168" s="610" t="s">
        <v>42</v>
      </c>
      <c r="D168" s="611" t="s">
        <v>12</v>
      </c>
      <c r="E168" s="612" t="s">
        <v>13</v>
      </c>
      <c r="F168" s="607" t="s">
        <v>1068</v>
      </c>
    </row>
    <row r="169" spans="1:6">
      <c r="A169" s="107" t="s">
        <v>202</v>
      </c>
      <c r="B169" s="340">
        <f>'Clés de répartition'!G50*(1+'Clés de répartition'!$N$60)</f>
        <v>0.48318382569938056</v>
      </c>
      <c r="C169" s="340">
        <f>'Clés de répartition'!H50*(1+'Clés de répartition'!$N$65)</f>
        <v>0.30453603704172183</v>
      </c>
      <c r="D169" s="340">
        <f>'Clés de répartition'!I50*(1+'Clés de répartition'!$N$53)</f>
        <v>4.248207971148913E-2</v>
      </c>
      <c r="E169" s="340">
        <f>'Clés de répartition'!J50</f>
        <v>0.12135071681441655</v>
      </c>
      <c r="F169" s="484">
        <f>'Clés de répartition'!K50</f>
        <v>1.247611535802376</v>
      </c>
    </row>
    <row r="170" spans="1:6">
      <c r="A170" s="19" t="s">
        <v>71</v>
      </c>
      <c r="B170" s="340">
        <f>'Clés de répartition'!G51*(1+'Clés de répartition'!$N$60)</f>
        <v>0.63239905062333268</v>
      </c>
      <c r="C170" s="340">
        <f>'Clés de répartition'!H51*(1+'Clés de répartition'!$N$65)</f>
        <v>0.20960221950966279</v>
      </c>
      <c r="D170" s="340">
        <f>'Clés de répartition'!I51*(1+'Clés de répartition'!$N$53)</f>
        <v>2.1654187520620469E-2</v>
      </c>
      <c r="E170" s="340">
        <f>'Clés de répartition'!J51</f>
        <v>0.116770152944655</v>
      </c>
      <c r="F170" s="484">
        <f>'Clés de répartition'!K51</f>
        <v>1.3695961703694599</v>
      </c>
    </row>
    <row r="171" spans="1:6">
      <c r="A171" s="19" t="s">
        <v>72</v>
      </c>
      <c r="B171" s="340">
        <f>'Clés de répartition'!G52*(1+'Clés de répartition'!$N$60)</f>
        <v>0.69215774543362485</v>
      </c>
      <c r="C171" s="340">
        <f>'Clés de répartition'!H52*(1+'Clés de répartition'!$N$65)</f>
        <v>0.24576070211052617</v>
      </c>
      <c r="D171" s="340">
        <f>'Clés de répartition'!I52*(1+'Clés de répartition'!$N$53)</f>
        <v>9.8120383526930834E-3</v>
      </c>
      <c r="E171" s="340">
        <f>'Clés de répartition'!J52</f>
        <v>2.38823363110117E-2</v>
      </c>
      <c r="F171" s="484">
        <f>'Clés de répartition'!K52</f>
        <v>1.3209985952376799</v>
      </c>
    </row>
    <row r="172" spans="1:6">
      <c r="A172" s="19" t="s">
        <v>73</v>
      </c>
      <c r="B172" s="340">
        <f>'Clés de répartition'!G53*(1+'Clés de répartition'!$N$60)</f>
        <v>0.62268665775061605</v>
      </c>
      <c r="C172" s="340">
        <f>'Clés de répartition'!H53*(1+'Clés de répartition'!$N$65)</f>
        <v>0.28517310963066955</v>
      </c>
      <c r="D172" s="340">
        <f>'Clés de répartition'!I53*(1+'Clés de répartition'!$N$53)</f>
        <v>1.2331532094160602E-2</v>
      </c>
      <c r="E172" s="340">
        <f>'Clés de répartition'!J53</f>
        <v>3.7756115625290902E-2</v>
      </c>
      <c r="F172" s="484">
        <f>'Clés de répartition'!K53</f>
        <v>1.3581186217214001</v>
      </c>
    </row>
    <row r="173" spans="1:6">
      <c r="A173" s="19" t="s">
        <v>74</v>
      </c>
      <c r="B173" s="340">
        <f>'Clés de répartition'!G54*(1+'Clés de répartition'!$N$60)</f>
        <v>0.77499490565355844</v>
      </c>
      <c r="C173" s="340">
        <f>'Clés de répartition'!H54*(1+'Clés de répartition'!$N$65)</f>
        <v>0.18754360320244051</v>
      </c>
      <c r="D173" s="340">
        <f>'Clés de répartition'!I54*(1+'Clés de répartition'!$N$53)</f>
        <v>4.27629520976292E-3</v>
      </c>
      <c r="E173" s="340">
        <f>'Clés de répartition'!J54</f>
        <v>2.3628115112841699E-2</v>
      </c>
      <c r="F173" s="484">
        <f>'Clés de répartition'!K54</f>
        <v>1.30606828243958</v>
      </c>
    </row>
    <row r="174" spans="1:6">
      <c r="A174" s="19" t="s">
        <v>86</v>
      </c>
      <c r="B174" s="340">
        <f>'Clés de répartition'!G55*(1+'Clés de répartition'!$N$60)</f>
        <v>0.72649627981067533</v>
      </c>
      <c r="C174" s="340">
        <f>'Clés de répartition'!H55*(1+'Clés de répartition'!$N$65)</f>
        <v>0.20174656372991465</v>
      </c>
      <c r="D174" s="340">
        <f>'Clés de répartition'!I55*(1+'Clés de répartition'!$N$53)</f>
        <v>1.7319073434738153E-2</v>
      </c>
      <c r="E174" s="340">
        <f>'Clés de répartition'!J55</f>
        <v>4.1005226229211399E-2</v>
      </c>
      <c r="F174" s="484">
        <f>'Clés de répartition'!K55</f>
        <v>1.21406463985462</v>
      </c>
    </row>
    <row r="175" spans="1:6">
      <c r="A175" s="19" t="s">
        <v>76</v>
      </c>
      <c r="B175" s="340">
        <f>'Clés de répartition'!G56*(1+'Clés de répartition'!$N$60)</f>
        <v>0.48892318886768882</v>
      </c>
      <c r="C175" s="340">
        <f>'Clés de répartition'!H56*(1+'Clés de répartition'!$N$65)</f>
        <v>0.36136827390638909</v>
      </c>
      <c r="D175" s="340">
        <f>'Clés de répartition'!I56*(1+'Clés de répartition'!$N$53)</f>
        <v>1.3926956541647845E-2</v>
      </c>
      <c r="E175" s="340">
        <f>'Clés de répartition'!J56</f>
        <v>6.6728861795463307E-2</v>
      </c>
      <c r="F175" s="484">
        <f>'Clés de répartition'!K56</f>
        <v>1.35011687557849</v>
      </c>
    </row>
    <row r="176" spans="1:6">
      <c r="A176" s="19" t="s">
        <v>77</v>
      </c>
      <c r="B176" s="340">
        <f>'Clés de répartition'!G57*(1+'Clés de répartition'!$N$60)</f>
        <v>0.77494723660677178</v>
      </c>
      <c r="C176" s="340">
        <f>'Clés de répartition'!H57*(1+'Clés de répartition'!$N$65)</f>
        <v>0.19835355016544623</v>
      </c>
      <c r="D176" s="340">
        <f>'Clés de répartition'!I57*(1+'Clés de répartition'!$N$53)</f>
        <v>1.7370572857442973E-3</v>
      </c>
      <c r="E176" s="340">
        <f>'Clés de répartition'!J57</f>
        <v>1.20345653676244E-2</v>
      </c>
      <c r="F176" s="484">
        <f>'Clés de répartition'!K57</f>
        <v>1.2564026753164701</v>
      </c>
    </row>
    <row r="177" spans="1:6">
      <c r="A177" s="19" t="s">
        <v>79</v>
      </c>
      <c r="B177" s="340">
        <f>'Clés de répartition'!G58*(1+'Clés de répartition'!$N$60)</f>
        <v>0.46019272239855041</v>
      </c>
      <c r="C177" s="340">
        <f>'Clés de répartition'!H58*(1+'Clés de répartition'!$N$65)</f>
        <v>0.31306058234341155</v>
      </c>
      <c r="D177" s="340">
        <f>'Clés de répartition'!I58*(1+'Clés de répartition'!$N$53)</f>
        <v>4.5660762956142735E-2</v>
      </c>
      <c r="E177" s="340">
        <f>'Clés de répartition'!J58</f>
        <v>0.12939652388136885</v>
      </c>
      <c r="F177" s="484">
        <f>'Clés de répartition'!K58</f>
        <v>1.2402673924864018</v>
      </c>
    </row>
    <row r="178" spans="1:6">
      <c r="A178" s="19" t="s">
        <v>80</v>
      </c>
      <c r="B178" s="340">
        <f>'Clés de répartition'!G59*(1+'Clés de répartition'!$N$60)</f>
        <v>0.63164454064051667</v>
      </c>
      <c r="C178" s="340">
        <f>'Clés de répartition'!H59*(1+'Clés de répartition'!$N$65)</f>
        <v>0.24737386147057919</v>
      </c>
      <c r="D178" s="340">
        <f>'Clés de répartition'!I59*(1+'Clés de répartition'!$N$53)</f>
        <v>7.6557289412439106E-3</v>
      </c>
      <c r="E178" s="340">
        <f>'Clés de répartition'!J59</f>
        <v>8.0990962153542997E-2</v>
      </c>
      <c r="F178" s="484">
        <f>'Clés de répartition'!K59</f>
        <v>1.1746237541954601</v>
      </c>
    </row>
    <row r="179" spans="1:6">
      <c r="A179" s="19" t="s">
        <v>81</v>
      </c>
      <c r="B179" s="340">
        <f>'Clés de répartition'!G60*(1+'Clés de répartition'!$N$60)</f>
        <v>0.51771802122581678</v>
      </c>
      <c r="C179" s="340">
        <f>'Clés de répartition'!H60*(1+'Clés de répartition'!$N$65)</f>
        <v>0.34203525876413066</v>
      </c>
      <c r="D179" s="340">
        <f>'Clés de répartition'!I60*(1+'Clés de répartition'!$N$53)</f>
        <v>2.9897820528410862E-2</v>
      </c>
      <c r="E179" s="340">
        <f>'Clés de répartition'!J60</f>
        <v>5.0927158604434697E-2</v>
      </c>
      <c r="F179" s="484">
        <f>'Clés de répartition'!K60</f>
        <v>1.4945495543106799</v>
      </c>
    </row>
    <row r="180" spans="1:6">
      <c r="A180" s="19" t="s">
        <v>78</v>
      </c>
      <c r="B180" s="340">
        <f>'Clés de répartition'!G61*(1+'Clés de répartition'!$N$60)</f>
        <v>0.53389987323136123</v>
      </c>
      <c r="C180" s="340">
        <f>'Clés de répartition'!H61*(1+'Clés de répartition'!$N$65)</f>
        <v>0.31156519706875491</v>
      </c>
      <c r="D180" s="340">
        <f>'Clés de répartition'!I61*(1+'Clés de répartition'!$N$53)</f>
        <v>2.6827809964657032E-2</v>
      </c>
      <c r="E180" s="340">
        <f>'Clés de répartition'!J61</f>
        <v>7.6710047430309999E-2</v>
      </c>
      <c r="F180" s="484">
        <f>'Clés de répartition'!K61</f>
        <v>1.2984416592364201</v>
      </c>
    </row>
    <row r="181" spans="1:6">
      <c r="A181" s="19" t="s">
        <v>82</v>
      </c>
      <c r="B181" s="340">
        <f>'Clés de répartition'!G62*(1+'Clés de répartition'!$N$60)</f>
        <v>0.75272404602523457</v>
      </c>
      <c r="C181" s="340">
        <f>'Clés de répartition'!H62*(1+'Clés de répartition'!$N$65)</f>
        <v>0.16032928930913568</v>
      </c>
      <c r="D181" s="340">
        <f>'Clés de répartition'!I62*(1+'Clés de répartition'!$N$53)</f>
        <v>1.8208780257311357E-2</v>
      </c>
      <c r="E181" s="340">
        <f>'Clés de répartition'!J62</f>
        <v>6.7915724715805106E-2</v>
      </c>
      <c r="F181" s="484">
        <f>'Clés de répartition'!K62</f>
        <v>1.2442108878584901</v>
      </c>
    </row>
    <row r="182" spans="1:6">
      <c r="A182" s="19" t="s">
        <v>83</v>
      </c>
      <c r="B182" s="340">
        <f>'Clés de répartition'!G63*(1+'Clés de répartition'!$N$60)</f>
        <v>0.72678658399870111</v>
      </c>
      <c r="C182" s="340">
        <f>'Clés de répartition'!H63*(1+'Clés de répartition'!$N$65)</f>
        <v>0.1937560058911541</v>
      </c>
      <c r="D182" s="340">
        <f>'Clés de répartition'!I63*(1+'Clés de répartition'!$N$53)</f>
        <v>5.3066409194238969E-3</v>
      </c>
      <c r="E182" s="340">
        <f>'Clés de répartition'!J63</f>
        <v>6.0639751552795003E-2</v>
      </c>
      <c r="F182" s="484">
        <f>'Clés de répartition'!K63</f>
        <v>1.2612643325492301</v>
      </c>
    </row>
    <row r="183" spans="1:6">
      <c r="A183" s="19" t="s">
        <v>84</v>
      </c>
      <c r="B183" s="340">
        <f>'Clés de répartition'!G64*(1+'Clés de répartition'!$N$60)</f>
        <v>0.78737474173126543</v>
      </c>
      <c r="C183" s="340">
        <f>'Clés de répartition'!H64*(1+'Clés de répartition'!$N$65)</f>
        <v>0.14968299571574054</v>
      </c>
      <c r="D183" s="340">
        <f>'Clés de répartition'!I64*(1+'Clés de répartition'!$N$53)</f>
        <v>7.7844903916260783E-2</v>
      </c>
      <c r="E183" s="340">
        <f>'Clés de répartition'!J64</f>
        <v>0</v>
      </c>
      <c r="F183" s="484">
        <f>'Clés de répartition'!K64</f>
        <v>1.0987916984464701</v>
      </c>
    </row>
    <row r="184" spans="1:6">
      <c r="A184" s="19" t="s">
        <v>85</v>
      </c>
      <c r="B184" s="340">
        <f>'Clés de répartition'!G65*(1+'Clés de répartition'!$N$60)</f>
        <v>0.48488261821537038</v>
      </c>
      <c r="C184" s="340">
        <f>'Clés de répartition'!H65*(1+'Clés de répartition'!$N$65)</f>
        <v>0.2752526039522456</v>
      </c>
      <c r="D184" s="340">
        <f>'Clés de répartition'!I65*(1+'Clés de répartition'!$N$53)</f>
        <v>4.3905509332148936E-2</v>
      </c>
      <c r="E184" s="340">
        <f>'Clés de répartition'!J65</f>
        <v>0.155342677143681</v>
      </c>
      <c r="F184" s="484">
        <f>'Clés de répartition'!K65</f>
        <v>1.47542893106574</v>
      </c>
    </row>
    <row r="185" spans="1:6">
      <c r="A185" s="19" t="s">
        <v>585</v>
      </c>
      <c r="B185" s="573"/>
      <c r="C185" s="573"/>
      <c r="D185" s="573"/>
      <c r="E185" s="573"/>
      <c r="F185" s="573"/>
    </row>
    <row r="186" spans="1:6">
      <c r="A186" s="597" t="s">
        <v>154</v>
      </c>
      <c r="B186" s="340">
        <f>'Clés de répartition'!G67*(1+'Clés de répartition'!$N$60)</f>
        <v>0.4896475911434936</v>
      </c>
      <c r="C186" s="340">
        <f>'Clés de répartition'!H67*(1+'Clés de répartition'!$N$65)</f>
        <v>0.31450339198216037</v>
      </c>
      <c r="D186" s="340">
        <f>'Clés de répartition'!I67*(1+'Clés de répartition'!$N$53)</f>
        <v>4.2963160383887075E-2</v>
      </c>
      <c r="E186" s="340">
        <f>'Clés de répartition'!J67</f>
        <v>0.101824357556036</v>
      </c>
      <c r="F186" s="484">
        <f>'Clés de répartition'!K67</f>
        <v>1.2524335480406801</v>
      </c>
    </row>
    <row r="187" spans="1:6">
      <c r="A187" s="597" t="s">
        <v>155</v>
      </c>
      <c r="B187" s="340">
        <f>'Clés de répartition'!G68*(1+'Clés de répartition'!$N$60)</f>
        <v>0.57675007725638194</v>
      </c>
      <c r="C187" s="340">
        <f>'Clés de répartition'!H68*(1+'Clés de répartition'!$N$65)</f>
        <v>0.25742280815630092</v>
      </c>
      <c r="D187" s="340">
        <f>'Clés de répartition'!I68*(1+'Clés de répartition'!$N$53)</f>
        <v>1.8557311519557387E-2</v>
      </c>
      <c r="E187" s="340">
        <f>'Clés de répartition'!J68</f>
        <v>0.111444595958959</v>
      </c>
      <c r="F187" s="484">
        <f>'Clés de répartition'!K68</f>
        <v>1.23148005517925</v>
      </c>
    </row>
    <row r="188" spans="1:6">
      <c r="A188" s="597" t="s">
        <v>156</v>
      </c>
      <c r="B188" s="340">
        <f>'Clés de répartition'!G69*(1+'Clés de répartition'!$N$60)</f>
        <v>0.38986457296203919</v>
      </c>
      <c r="C188" s="340">
        <f>'Clés de répartition'!H69*(1+'Clés de répartition'!$N$65)</f>
        <v>0.35846032624607022</v>
      </c>
      <c r="D188" s="340">
        <f>'Clés de répartition'!I69*(1+'Clés de répartition'!$N$53)</f>
        <v>2.6375381359226239E-2</v>
      </c>
      <c r="E188" s="340">
        <f>'Clés de répartition'!J69</f>
        <v>0.15424224046683099</v>
      </c>
      <c r="F188" s="484">
        <f>'Clés de répartition'!K69</f>
        <v>1.3439235839571</v>
      </c>
    </row>
    <row r="189" spans="1:6">
      <c r="A189" s="597" t="s">
        <v>403</v>
      </c>
      <c r="B189" s="340">
        <f>'Clés de répartition'!G70*(1+'Clés de répartition'!$N$60)</f>
        <v>0.78412019640848019</v>
      </c>
      <c r="C189" s="340">
        <f>'Clés de répartition'!H70*(1+'Clés de répartition'!$N$65)</f>
        <v>0.15647560704134869</v>
      </c>
      <c r="D189" s="340">
        <f>'Clés de répartition'!I70*(1+'Clés de répartition'!$N$53)</f>
        <v>7.5047392050356064E-3</v>
      </c>
      <c r="E189" s="340">
        <f>'Clés de répartition'!J70</f>
        <v>5.1735217171628801E-2</v>
      </c>
      <c r="F189" s="484">
        <f>'Clés de répartition'!K70</f>
        <v>1.2184282330610201</v>
      </c>
    </row>
    <row r="190" spans="1:6">
      <c r="A190" s="597" t="s">
        <v>168</v>
      </c>
      <c r="B190" s="340">
        <f>'Clés de répartition'!G71*(1+'Clés de répartition'!$N$60)</f>
        <v>0.65196843645983871</v>
      </c>
      <c r="C190" s="340">
        <f>'Clés de répartition'!H71*(1+'Clés de répartition'!$N$65)</f>
        <v>0.24609931811103883</v>
      </c>
      <c r="D190" s="340">
        <f>'Clés de répartition'!I71*(1+'Clés de répartition'!$N$53)</f>
        <v>1.3383779129924646E-2</v>
      </c>
      <c r="E190" s="340">
        <f>'Clés de répartition'!J71</f>
        <v>5.86661948062202E-2</v>
      </c>
      <c r="F190" s="484">
        <f>'Clés de répartition'!K71</f>
        <v>1.2685301008210299</v>
      </c>
    </row>
    <row r="191" spans="1:6">
      <c r="A191" s="597" t="s">
        <v>167</v>
      </c>
      <c r="B191" s="340">
        <f>'Clés de répartition'!G72*(1+'Clés de répartition'!$N$60)</f>
        <v>0.62692989876464789</v>
      </c>
      <c r="C191" s="340">
        <f>'Clés de répartition'!H72*(1+'Clés de répartition'!$N$65)</f>
        <v>0.23374402642657024</v>
      </c>
      <c r="D191" s="340">
        <f>'Clés de répartition'!I72*(1+'Clés de répartition'!$N$53)</f>
        <v>1.7512745257380041E-2</v>
      </c>
      <c r="E191" s="340">
        <f>'Clés de répartition'!J72</f>
        <v>9.4719973310629701E-2</v>
      </c>
      <c r="F191" s="484">
        <f>'Clés de répartition'!K72</f>
        <v>1.2423881036042801</v>
      </c>
    </row>
    <row r="192" spans="1:6">
      <c r="A192" s="597" t="s">
        <v>170</v>
      </c>
      <c r="B192" s="340">
        <f>'Clés de répartition'!G73*(1+'Clés de répartition'!$N$60)</f>
        <v>0.43438777938276668</v>
      </c>
      <c r="C192" s="340">
        <f>'Clés de répartition'!H73*(1+'Clés de répartition'!$N$65)</f>
        <v>0.35351046144872705</v>
      </c>
      <c r="D192" s="340">
        <f>'Clés de répartition'!I73*(1+'Clés de répartition'!$N$53)</f>
        <v>4.7191014841157321E-2</v>
      </c>
      <c r="E192" s="340">
        <f>'Clés de répartition'!J73</f>
        <v>0.101341547145451</v>
      </c>
      <c r="F192" s="484">
        <f>'Clés de répartition'!K73</f>
        <v>1.2319927716349199</v>
      </c>
    </row>
    <row r="193" spans="1:6">
      <c r="A193" s="597" t="s">
        <v>171</v>
      </c>
      <c r="B193" s="340">
        <f>'Clés de répartition'!G74*(1+'Clés de répartition'!$N$60)</f>
        <v>0.52844017298662105</v>
      </c>
      <c r="C193" s="340">
        <f>'Clés de répartition'!H74*(1+'Clés de répartition'!$N$65)</f>
        <v>0.27603052008268486</v>
      </c>
      <c r="D193" s="340">
        <f>'Clés de répartition'!I74*(1+'Clés de répartition'!$N$53)</f>
        <v>9.5492278638563497E-3</v>
      </c>
      <c r="E193" s="340">
        <f>'Clés de répartition'!J74</f>
        <v>0.14100847826049001</v>
      </c>
      <c r="F193" s="484">
        <f>'Clés de répartition'!K74</f>
        <v>1.2829842548803401</v>
      </c>
    </row>
    <row r="194" spans="1:6">
      <c r="A194" s="597" t="s">
        <v>172</v>
      </c>
      <c r="B194" s="340">
        <f>'Clés de répartition'!G75*(1+'Clés de répartition'!$N$60)</f>
        <v>0.33910613044094234</v>
      </c>
      <c r="C194" s="340">
        <f>'Clés de répartition'!H75*(1+'Clés de répartition'!$N$65)</f>
        <v>0.29492965406730809</v>
      </c>
      <c r="D194" s="340">
        <f>'Clés de répartition'!I75*(1+'Clés de répartition'!$N$53)</f>
        <v>0.10250444616306964</v>
      </c>
      <c r="E194" s="340">
        <f>'Clés de répartition'!J75</f>
        <v>0.22096517876281499</v>
      </c>
      <c r="F194" s="484">
        <f>'Clés de répartition'!K75</f>
        <v>1.2423016314070601</v>
      </c>
    </row>
    <row r="195" spans="1:6">
      <c r="A195" s="597" t="s">
        <v>173</v>
      </c>
      <c r="B195" s="340">
        <f>'Clés de répartition'!G76*(1+'Clés de répartition'!$N$60)</f>
        <v>0.73938406303344428</v>
      </c>
      <c r="C195" s="340">
        <f>'Clés de répartition'!H76*(1+'Clés de répartition'!$N$65)</f>
        <v>0.20317857101848516</v>
      </c>
      <c r="D195" s="340">
        <f>'Clés de répartition'!I76*(1+'Clés de répartition'!$N$53)</f>
        <v>3.6456101811002551E-3</v>
      </c>
      <c r="E195" s="340">
        <f>'Clés de répartition'!J76</f>
        <v>3.8096042998680399E-2</v>
      </c>
      <c r="F195" s="484">
        <f>'Clés de répartition'!K76</f>
        <v>1.311674685971</v>
      </c>
    </row>
    <row r="196" spans="1:6">
      <c r="A196" s="597" t="s">
        <v>350</v>
      </c>
      <c r="B196" s="340">
        <f>'Clés de répartition'!G77*(1+'Clés de répartition'!$N$60)</f>
        <v>0.25080785519590393</v>
      </c>
      <c r="C196" s="340">
        <f>'Clés de répartition'!H77*(1+'Clés de répartition'!$N$65)</f>
        <v>0.32427075595367816</v>
      </c>
      <c r="D196" s="340">
        <f>'Clés de répartition'!I77*(1+'Clés de répartition'!$N$53)</f>
        <v>0.14081016951172509</v>
      </c>
      <c r="E196" s="340">
        <f>'Clés de répartition'!J77</f>
        <v>0.236334615727334</v>
      </c>
      <c r="F196" s="484">
        <f>'Clés de répartition'!K77</f>
        <v>1.1481527030890799</v>
      </c>
    </row>
    <row r="197" spans="1:6">
      <c r="A197" s="597" t="s">
        <v>174</v>
      </c>
      <c r="B197" s="340">
        <f>'Clés de répartition'!G78*(1+'Clés de répartition'!$N$60)</f>
        <v>0.66964303302702755</v>
      </c>
      <c r="C197" s="340">
        <f>'Clés de répartition'!H78*(1+'Clés de répartition'!$N$65)</f>
        <v>0.25241197566913937</v>
      </c>
      <c r="D197" s="340">
        <f>'Clés de répartition'!I78*(1+'Clés de répartition'!$N$53)</f>
        <v>3.2400167263166679E-3</v>
      </c>
      <c r="E197" s="340">
        <f>'Clés de répartition'!J78</f>
        <v>4.2155086948894999E-2</v>
      </c>
      <c r="F197" s="484">
        <f>'Clés de répartition'!K78</f>
        <v>1.24309574689677</v>
      </c>
    </row>
    <row r="198" spans="1:6">
      <c r="A198" s="597" t="s">
        <v>175</v>
      </c>
      <c r="B198" s="340">
        <f>'Clés de répartition'!G79*(1+'Clés de répartition'!$N$60)</f>
        <v>0.38761368178972561</v>
      </c>
      <c r="C198" s="340">
        <f>'Clés de répartition'!H79*(1+'Clés de répartition'!$N$65)</f>
        <v>0.33627865089091852</v>
      </c>
      <c r="D198" s="340">
        <f>'Clés de répartition'!I79*(1+'Clés de répartition'!$N$53)</f>
        <v>8.8055058474290446E-2</v>
      </c>
      <c r="E198" s="340">
        <f>'Clés de répartition'!J79</f>
        <v>0.13429082801092601</v>
      </c>
      <c r="F198" s="484">
        <f>'Clés de répartition'!K79</f>
        <v>1.2040219761240101</v>
      </c>
    </row>
    <row r="199" spans="1:6">
      <c r="A199" s="597" t="s">
        <v>176</v>
      </c>
      <c r="B199" s="340">
        <f>'Clés de répartition'!G80*(1+'Clés de répartition'!$N$60)</f>
        <v>0.57072990042202509</v>
      </c>
      <c r="C199" s="340">
        <f>'Clés de répartition'!H80*(1+'Clés de répartition'!$N$65)</f>
        <v>0.29253057163617313</v>
      </c>
      <c r="D199" s="340">
        <f>'Clés de répartition'!I80*(1+'Clés de répartition'!$N$53)</f>
        <v>1.6235251120700692E-2</v>
      </c>
      <c r="E199" s="340">
        <f>'Clés de répartition'!J80</f>
        <v>7.4532373289357995E-2</v>
      </c>
      <c r="F199" s="484">
        <f>'Clés de répartition'!K80</f>
        <v>1.2727003236169701</v>
      </c>
    </row>
    <row r="200" spans="1:6">
      <c r="A200" s="597" t="s">
        <v>177</v>
      </c>
      <c r="B200" s="340">
        <f>'Clés de répartition'!G81*(1+'Clés de répartition'!$N$60)</f>
        <v>0.62475705926770742</v>
      </c>
      <c r="C200" s="340">
        <f>'Clés de répartition'!H81*(1+'Clés de répartition'!$N$65)</f>
        <v>0.26671189645000853</v>
      </c>
      <c r="D200" s="340">
        <f>'Clés de répartition'!I81*(1+'Clés de répartition'!$N$53)</f>
        <v>3.4455429183794083E-3</v>
      </c>
      <c r="E200" s="340">
        <f>'Clés de répartition'!J81</f>
        <v>6.6432730611331495E-2</v>
      </c>
      <c r="F200" s="484">
        <f>'Clés de répartition'!K81</f>
        <v>1.2918743956221499</v>
      </c>
    </row>
    <row r="201" spans="1:6">
      <c r="A201" s="597" t="s">
        <v>351</v>
      </c>
      <c r="B201" s="340">
        <f>'Clés de répartition'!G82*(1+'Clés de répartition'!$N$60)</f>
        <v>0.35396905237297321</v>
      </c>
      <c r="C201" s="340">
        <f>'Clés de répartition'!H82*(1+'Clés de répartition'!$N$65)</f>
        <v>0.34029148676237092</v>
      </c>
      <c r="D201" s="340">
        <f>'Clés de répartition'!I82*(1+'Clés de répartition'!$N$53)</f>
        <v>4.3079243351427925E-2</v>
      </c>
      <c r="E201" s="340">
        <f>'Clés de répartition'!J82</f>
        <v>0.19772853257735501</v>
      </c>
      <c r="F201" s="484">
        <f>'Clés de répartition'!K82</f>
        <v>1.18081152567166</v>
      </c>
    </row>
    <row r="202" spans="1:6">
      <c r="A202" s="597" t="s">
        <v>856</v>
      </c>
      <c r="B202" s="340">
        <f>'Clés de répartition'!G83*(1+'Clés de répartition'!$N$60)</f>
        <v>0.42298424773922982</v>
      </c>
      <c r="C202" s="340">
        <f>'Clés de répartition'!H83*(1+'Clés de répartition'!$N$65)</f>
        <v>0.35834540543814808</v>
      </c>
      <c r="D202" s="340">
        <f>'Clés de répartition'!I83*(1+'Clés de répartition'!$N$53)</f>
        <v>3.9831280072761821E-2</v>
      </c>
      <c r="E202" s="340">
        <f>'Clés de répartition'!J83</f>
        <v>0.11201915589075701</v>
      </c>
      <c r="F202" s="484">
        <f>'Clés de répartition'!K83</f>
        <v>1.2429556033504101</v>
      </c>
    </row>
    <row r="203" spans="1:6">
      <c r="A203" s="597" t="s">
        <v>178</v>
      </c>
      <c r="B203" s="340">
        <f>'Clés de répartition'!G84*(1+'Clés de répartition'!$N$60)</f>
        <v>0.30540377710872008</v>
      </c>
      <c r="C203" s="340">
        <f>'Clés de répartition'!H84*(1+'Clés de répartition'!$N$65)</f>
        <v>0.32028270380698554</v>
      </c>
      <c r="D203" s="340">
        <f>'Clés de répartition'!I84*(1+'Clés de répartition'!$N$53)</f>
        <v>7.0001655905287355E-2</v>
      </c>
      <c r="E203" s="340">
        <f>'Clés de répartition'!J84</f>
        <v>0.24724689466321001</v>
      </c>
      <c r="F203" s="484">
        <f>'Clés de répartition'!K84</f>
        <v>1.1519408444761401</v>
      </c>
    </row>
    <row r="204" spans="1:6">
      <c r="A204" s="597" t="s">
        <v>179</v>
      </c>
      <c r="B204" s="340">
        <f>'Clés de répartition'!G85*(1+'Clés de répartition'!$N$60)</f>
        <v>0.36539539039667013</v>
      </c>
      <c r="C204" s="340">
        <f>'Clés de répartition'!H85*(1+'Clés de répartition'!$N$65)</f>
        <v>0.38174000797077201</v>
      </c>
      <c r="D204" s="340">
        <f>'Clés de répartition'!I85*(1+'Clés de répartition'!$N$53)</f>
        <v>6.3274529532617182E-2</v>
      </c>
      <c r="E204" s="340">
        <f>'Clés de répartition'!J85</f>
        <v>0.117898111525943</v>
      </c>
      <c r="F204" s="484">
        <f>'Clés de répartition'!K85</f>
        <v>1.2392546336569801</v>
      </c>
    </row>
    <row r="208" spans="1:6">
      <c r="A208" s="402"/>
      <c r="B208" s="402"/>
    </row>
    <row r="209" spans="1:2">
      <c r="A209" s="402" t="s">
        <v>839</v>
      </c>
      <c r="B209" s="402">
        <v>1</v>
      </c>
    </row>
    <row r="210" spans="1:2">
      <c r="A210" s="402" t="s">
        <v>838</v>
      </c>
      <c r="B210" s="402">
        <v>1</v>
      </c>
    </row>
    <row r="211" spans="1:2">
      <c r="A211" s="402" t="s">
        <v>835</v>
      </c>
      <c r="B211" s="402"/>
    </row>
    <row r="212" spans="1:2">
      <c r="A212" s="402" t="s">
        <v>836</v>
      </c>
      <c r="B212" s="402"/>
    </row>
    <row r="213" spans="1:2">
      <c r="A213" s="402" t="s">
        <v>837</v>
      </c>
      <c r="B213" s="402"/>
    </row>
    <row r="214" spans="1:2">
      <c r="A214" s="402" t="s">
        <v>936</v>
      </c>
      <c r="B214" s="402"/>
    </row>
    <row r="215" spans="1:2">
      <c r="A215" s="402" t="s">
        <v>929</v>
      </c>
      <c r="B215" s="402"/>
    </row>
    <row r="216" spans="1:2">
      <c r="A216" s="402"/>
      <c r="B216" s="402"/>
    </row>
    <row r="217" spans="1:2">
      <c r="A217" s="402"/>
      <c r="B217" s="402"/>
    </row>
  </sheetData>
  <mergeCells count="8">
    <mergeCell ref="A3:F3"/>
    <mergeCell ref="Q7:AA7"/>
    <mergeCell ref="G85:J85"/>
    <mergeCell ref="K85:N85"/>
    <mergeCell ref="G46:J46"/>
    <mergeCell ref="K46:N46"/>
    <mergeCell ref="G7:J7"/>
    <mergeCell ref="K7:N7"/>
  </mergeCells>
  <hyperlinks>
    <hyperlink ref="A1" location="'Table des matières'!A1" display="Retour à la Table des matières" xr:uid="{1F8C2AFE-B81B-6C4C-8D55-EDB96661F4ED}"/>
  </hyperlinks>
  <pageMargins left="0.7" right="0.7" top="0.75" bottom="0.75" header="0.3" footer="0.3"/>
  <pageSetup orientation="portrait" horizontalDpi="0" verticalDpi="0"/>
  <drawing r:id="rId1"/>
  <legacyDrawing r:id="rId2"/>
  <mc:AlternateContent xmlns:mc="http://schemas.openxmlformats.org/markup-compatibility/2006">
    <mc:Choice Requires="x14">
      <controls>
        <mc:AlternateContent xmlns:mc="http://schemas.openxmlformats.org/markup-compatibility/2006">
          <mc:Choice Requires="x14">
            <control shapeId="6150" r:id="rId3" name="Option Button 6">
              <controlPr defaultSize="0" autoFill="0" autoLine="0" autoPict="0">
                <anchor moveWithCells="1">
                  <from>
                    <xdr:col>1</xdr:col>
                    <xdr:colOff>139700</xdr:colOff>
                    <xdr:row>3</xdr:row>
                    <xdr:rowOff>12700</xdr:rowOff>
                  </from>
                  <to>
                    <xdr:col>5</xdr:col>
                    <xdr:colOff>482600</xdr:colOff>
                    <xdr:row>4</xdr:row>
                    <xdr:rowOff>88900</xdr:rowOff>
                  </to>
                </anchor>
              </controlPr>
            </control>
          </mc:Choice>
        </mc:AlternateContent>
        <mc:AlternateContent xmlns:mc="http://schemas.openxmlformats.org/markup-compatibility/2006">
          <mc:Choice Requires="x14">
            <control shapeId="6151" r:id="rId4" name="Option Button 7">
              <controlPr defaultSize="0" autoFill="0" autoLine="0" autoPict="0">
                <anchor moveWithCells="1">
                  <from>
                    <xdr:col>1</xdr:col>
                    <xdr:colOff>152400</xdr:colOff>
                    <xdr:row>3</xdr:row>
                    <xdr:rowOff>292100</xdr:rowOff>
                  </from>
                  <to>
                    <xdr:col>5</xdr:col>
                    <xdr:colOff>355600</xdr:colOff>
                    <xdr:row>5</xdr:row>
                    <xdr:rowOff>76200</xdr:rowOff>
                  </to>
                </anchor>
              </controlPr>
            </control>
          </mc:Choice>
        </mc:AlternateContent>
        <mc:AlternateContent xmlns:mc="http://schemas.openxmlformats.org/markup-compatibility/2006">
          <mc:Choice Requires="x14">
            <control shapeId="6163" r:id="rId5" name="Drop Down 19">
              <controlPr defaultSize="0" autoLine="0" autoPict="0">
                <anchor moveWithCells="1">
                  <from>
                    <xdr:col>0</xdr:col>
                    <xdr:colOff>139700</xdr:colOff>
                    <xdr:row>3</xdr:row>
                    <xdr:rowOff>152400</xdr:rowOff>
                  </from>
                  <to>
                    <xdr:col>0</xdr:col>
                    <xdr:colOff>3022600</xdr:colOff>
                    <xdr:row>4</xdr:row>
                    <xdr:rowOff>165100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A7703F-E657-8945-BF47-DFBB3B428024}">
  <sheetPr codeName="Sheet4"/>
  <dimension ref="A1:BD311"/>
  <sheetViews>
    <sheetView topLeftCell="A84" zoomScale="75" zoomScaleNormal="65" workbookViewId="0">
      <selection activeCell="I89" sqref="I89"/>
    </sheetView>
  </sheetViews>
  <sheetFormatPr baseColWidth="10" defaultRowHeight="16"/>
  <cols>
    <col min="1" max="1" width="42.6640625" customWidth="1"/>
    <col min="2" max="2" width="12.6640625" customWidth="1"/>
    <col min="3" max="3" width="17.33203125" customWidth="1"/>
    <col min="4" max="4" width="15.6640625" customWidth="1"/>
    <col min="5" max="5" width="14" customWidth="1"/>
    <col min="6" max="6" width="13.1640625" customWidth="1"/>
    <col min="7" max="7" width="14.1640625" style="252" customWidth="1"/>
    <col min="8" max="8" width="18.1640625" customWidth="1"/>
    <col min="9" max="9" width="17.6640625" bestFit="1" customWidth="1"/>
    <col min="10" max="10" width="17.1640625" customWidth="1"/>
    <col min="11" max="11" width="14.5" customWidth="1"/>
    <col min="12" max="12" width="11.6640625" customWidth="1"/>
    <col min="13" max="13" width="13.1640625" customWidth="1"/>
    <col min="14" max="15" width="13" customWidth="1"/>
    <col min="16" max="16" width="15.83203125" customWidth="1"/>
    <col min="18" max="18" width="15.33203125" customWidth="1"/>
    <col min="22" max="23" width="18.5" bestFit="1" customWidth="1"/>
    <col min="24" max="24" width="22.5" bestFit="1" customWidth="1"/>
    <col min="25" max="25" width="16.83203125" bestFit="1" customWidth="1"/>
    <col min="27" max="27" width="14.33203125" customWidth="1"/>
    <col min="29" max="29" width="16.83203125" bestFit="1" customWidth="1"/>
    <col min="33" max="33" width="12.6640625" customWidth="1"/>
    <col min="34" max="34" width="16.83203125" bestFit="1" customWidth="1"/>
    <col min="35" max="35" width="13.1640625" bestFit="1" customWidth="1"/>
    <col min="36" max="37" width="15.6640625" bestFit="1" customWidth="1"/>
    <col min="41" max="41" width="19" customWidth="1"/>
  </cols>
  <sheetData>
    <row r="1" spans="1:46">
      <c r="A1" s="501" t="s">
        <v>841</v>
      </c>
    </row>
    <row r="2" spans="1:46" ht="26">
      <c r="A2" s="48" t="s">
        <v>842</v>
      </c>
    </row>
    <row r="3" spans="1:46" ht="400" customHeight="1">
      <c r="A3" s="637" t="s">
        <v>1085</v>
      </c>
      <c r="B3" s="637"/>
      <c r="C3" s="637"/>
      <c r="D3" s="637"/>
    </row>
    <row r="4" spans="1:46" ht="17" customHeight="1"/>
    <row r="5" spans="1:46" ht="62" customHeight="1">
      <c r="A5" s="153" t="s">
        <v>397</v>
      </c>
      <c r="B5" s="692" t="s">
        <v>415</v>
      </c>
      <c r="C5" s="692"/>
      <c r="D5" s="692"/>
      <c r="E5" s="692"/>
      <c r="F5" s="114" t="s">
        <v>447</v>
      </c>
      <c r="G5" s="698" t="s">
        <v>449</v>
      </c>
      <c r="H5" s="698"/>
      <c r="I5" s="698"/>
      <c r="J5" s="698"/>
      <c r="K5" s="698" t="s">
        <v>450</v>
      </c>
      <c r="L5" s="698"/>
      <c r="M5" s="698"/>
      <c r="N5" s="698"/>
      <c r="O5" s="698" t="s">
        <v>456</v>
      </c>
      <c r="P5" s="698"/>
      <c r="Q5" s="700" t="s">
        <v>445</v>
      </c>
      <c r="R5" s="700"/>
      <c r="S5" s="700"/>
      <c r="T5" s="700"/>
      <c r="U5" s="699" t="s">
        <v>446</v>
      </c>
      <c r="V5" s="699"/>
      <c r="W5" s="699"/>
      <c r="X5" s="699"/>
      <c r="Y5" s="698" t="s">
        <v>437</v>
      </c>
      <c r="Z5" s="698"/>
      <c r="AA5" s="698"/>
      <c r="AB5" s="698"/>
      <c r="AC5" s="701" t="s">
        <v>451</v>
      </c>
      <c r="AD5" s="701"/>
      <c r="AE5" s="701"/>
      <c r="AF5" s="701"/>
      <c r="AG5" s="698" t="s">
        <v>438</v>
      </c>
      <c r="AH5" s="698"/>
      <c r="AI5" s="698"/>
      <c r="AJ5" s="698"/>
      <c r="AK5" s="697" t="s">
        <v>414</v>
      </c>
      <c r="AL5" s="697"/>
      <c r="AM5" s="697"/>
      <c r="AN5" s="697"/>
      <c r="AO5" s="114" t="s">
        <v>413</v>
      </c>
      <c r="AP5" t="s">
        <v>441</v>
      </c>
      <c r="AT5" t="s">
        <v>602</v>
      </c>
    </row>
    <row r="6" spans="1:46">
      <c r="A6" s="144"/>
      <c r="B6" s="145" t="s">
        <v>10</v>
      </c>
      <c r="C6" s="146" t="s">
        <v>42</v>
      </c>
      <c r="D6" s="147" t="s">
        <v>12</v>
      </c>
      <c r="E6" s="148" t="s">
        <v>13</v>
      </c>
      <c r="G6" s="260" t="s">
        <v>10</v>
      </c>
      <c r="H6" s="146" t="s">
        <v>42</v>
      </c>
      <c r="I6" s="147" t="s">
        <v>12</v>
      </c>
      <c r="J6" s="148" t="s">
        <v>13</v>
      </c>
      <c r="K6" s="145" t="s">
        <v>10</v>
      </c>
      <c r="L6" s="146" t="s">
        <v>42</v>
      </c>
      <c r="M6" s="147" t="s">
        <v>12</v>
      </c>
      <c r="N6" s="148" t="s">
        <v>13</v>
      </c>
      <c r="O6" s="146" t="s">
        <v>42</v>
      </c>
      <c r="P6" s="147" t="s">
        <v>12</v>
      </c>
      <c r="Q6" s="145" t="s">
        <v>10</v>
      </c>
      <c r="R6" s="146" t="s">
        <v>42</v>
      </c>
      <c r="S6" s="147" t="s">
        <v>12</v>
      </c>
      <c r="T6" s="148" t="s">
        <v>13</v>
      </c>
      <c r="U6" s="145" t="s">
        <v>10</v>
      </c>
      <c r="V6" s="146" t="s">
        <v>42</v>
      </c>
      <c r="W6" s="147" t="s">
        <v>12</v>
      </c>
      <c r="X6" s="148" t="s">
        <v>13</v>
      </c>
      <c r="Y6" s="145" t="s">
        <v>10</v>
      </c>
      <c r="Z6" s="146" t="s">
        <v>42</v>
      </c>
      <c r="AA6" s="147" t="s">
        <v>12</v>
      </c>
      <c r="AB6" s="148" t="s">
        <v>13</v>
      </c>
      <c r="AC6" s="145" t="s">
        <v>10</v>
      </c>
      <c r="AD6" s="146" t="s">
        <v>42</v>
      </c>
      <c r="AE6" s="147" t="s">
        <v>12</v>
      </c>
      <c r="AF6" s="148" t="s">
        <v>13</v>
      </c>
      <c r="AG6" s="145" t="s">
        <v>10</v>
      </c>
      <c r="AH6" s="146" t="s">
        <v>42</v>
      </c>
      <c r="AI6" s="147" t="s">
        <v>12</v>
      </c>
      <c r="AJ6" s="148" t="s">
        <v>13</v>
      </c>
      <c r="AK6" s="145" t="s">
        <v>10</v>
      </c>
      <c r="AL6" s="146" t="s">
        <v>42</v>
      </c>
      <c r="AM6" s="147" t="s">
        <v>12</v>
      </c>
      <c r="AN6" s="148" t="s">
        <v>13</v>
      </c>
      <c r="AT6" s="330" t="s">
        <v>603</v>
      </c>
    </row>
    <row r="7" spans="1:46">
      <c r="A7" s="19" t="s">
        <v>202</v>
      </c>
      <c r="B7" s="232" cm="1">
        <f t="array" ref="B7">SUM(B8:B22*$F8:$F22)/$F$7</f>
        <v>0.7534703091771634</v>
      </c>
      <c r="C7" s="232" cm="1">
        <f t="array" ref="C7">SUM(C8:C22*$F8:$F22)/$F$7</f>
        <v>9.173728120399148E-3</v>
      </c>
      <c r="D7" s="232" cm="1">
        <f t="array" ref="D7">SUM(D8:D22*$F8:$F22)/$F$7</f>
        <v>1.2025192213315886E-2</v>
      </c>
      <c r="E7" s="232" cm="1">
        <f t="array" ref="E7">SUM(E8:E22*$F8:$F22)/$F$7</f>
        <v>0.17408473744478981</v>
      </c>
      <c r="F7">
        <f>SUM(F8:F22)</f>
        <v>61.129999999999995</v>
      </c>
      <c r="G7" s="116">
        <f>B7*F7*(IF(AND('Résultat - projection'!$B$209=2, 'Résultat - projection'!$B$210&lt;&gt;1),B50/(B50+0.5*D50),1))/F50</f>
        <v>36.918254342989599</v>
      </c>
      <c r="H7" s="116">
        <f>C238/'Clés de répartition'!$G$243</f>
        <v>0.4294254176966395</v>
      </c>
      <c r="I7" s="116">
        <f>M194+IF(AND('Résultat - projection'!$B$209=2, 'Résultat - projection'!$B$210&lt;&gt;1),B7*F7*0.5*D50/(B50+0.5*D50),0)</f>
        <v>0.87551549999999989</v>
      </c>
      <c r="J7" s="116">
        <f>E7*F7</f>
        <v>10.6418</v>
      </c>
      <c r="K7" s="328">
        <f>G7+J7*B50</f>
        <v>41.795544061946231</v>
      </c>
      <c r="L7" s="328">
        <f>H7+E7*F7*C50</f>
        <v>4.53842118672988</v>
      </c>
      <c r="M7" s="20">
        <f>I7+E7*$F7*D50</f>
        <v>1.2435363455974286</v>
      </c>
      <c r="N7" s="329">
        <f>J7*E50</f>
        <v>1.2913900581956579</v>
      </c>
      <c r="O7" s="116">
        <f>C7*F7+E7*F7*C50</f>
        <v>4.6697857690332407</v>
      </c>
      <c r="P7" s="329">
        <f>L194+F7*E7*D50</f>
        <v>0.88860634559742868</v>
      </c>
      <c r="Q7" s="231">
        <f t="shared" ref="Q7:Q42" si="0">K7/(SUM($K7:$N7))</f>
        <v>0.85525868602003441</v>
      </c>
      <c r="R7" s="231">
        <f t="shared" ref="R7:R42" si="1">L7/(SUM($K7:$N7))</f>
        <v>9.2869329204452455E-2</v>
      </c>
      <c r="S7" s="231">
        <f t="shared" ref="S7:S42" si="2">M7/(SUM($K7:$N7))</f>
        <v>2.5446379149353934E-2</v>
      </c>
      <c r="T7" s="231">
        <f t="shared" ref="T7:T42" si="3">N7/(SUM($K7:$N7))</f>
        <v>2.6425605626159272E-2</v>
      </c>
      <c r="U7" s="232">
        <f t="shared" ref="U7:U42" si="4">G7/SUM($G7:$I7)</f>
        <v>0.96585997301385174</v>
      </c>
      <c r="V7" s="232">
        <f t="shared" ref="V7:V42" si="5">H7/SUM($G7:$I7)</f>
        <v>1.1234681317663598E-2</v>
      </c>
      <c r="W7" s="232">
        <f t="shared" ref="W7:W42" si="6">I7/SUM($G7:$I7)</f>
        <v>2.2905345668484581E-2</v>
      </c>
      <c r="X7" s="232">
        <f t="shared" ref="X7:X42" si="7">(N7-$N7)/($K7+$L7+$M7-3*$N7)</f>
        <v>0</v>
      </c>
      <c r="Y7" s="20">
        <f t="shared" ref="Y7:Y42" si="8">K7</f>
        <v>41.795544061946231</v>
      </c>
      <c r="Z7" s="20">
        <f t="shared" ref="Z7:Z42" si="9">L7</f>
        <v>4.53842118672988</v>
      </c>
      <c r="AA7" s="20">
        <f t="shared" ref="AA7:AA22" si="10">M7+L194</f>
        <v>1.7641218455974288</v>
      </c>
      <c r="AB7" s="20">
        <f t="shared" ref="AB7:AB42" si="11">N7</f>
        <v>1.2913900581956579</v>
      </c>
      <c r="AC7" s="159">
        <f t="shared" ref="AC7:AC42" si="12">Y7/SUM($Y7:$AB7)</f>
        <v>0.84624390602314137</v>
      </c>
      <c r="AD7" s="159">
        <f t="shared" ref="AD7:AD42" si="13">Z7/SUM($Y7:$AB7)</f>
        <v>9.1890448095237318E-2</v>
      </c>
      <c r="AE7" s="159">
        <f t="shared" ref="AE7:AE42" si="14">AA7/SUM($Y7:$AB7)</f>
        <v>3.5718577059470499E-2</v>
      </c>
      <c r="AF7" s="159">
        <f t="shared" ref="AF7:AF42" si="15">AB7/SUM($Y7:$AB7)</f>
        <v>2.6147068822150826E-2</v>
      </c>
      <c r="AG7" s="116">
        <f t="shared" ref="AG7:AG22" si="16">K7</f>
        <v>41.795544061946231</v>
      </c>
      <c r="AH7" s="116">
        <f t="shared" ref="AH7:AH22" si="17">L7</f>
        <v>4.53842118672988</v>
      </c>
      <c r="AI7" s="116">
        <f>O194+I7-M194</f>
        <v>0.68017581662306537</v>
      </c>
      <c r="AJ7" s="116">
        <f t="shared" ref="AJ7:AJ22" si="18">N7</f>
        <v>1.2913900581956579</v>
      </c>
      <c r="AK7" s="232">
        <f t="shared" ref="AK7:AK22" si="19">AG7/SUM($AG7:$AJ7)</f>
        <v>0.86523309215034649</v>
      </c>
      <c r="AL7" s="232">
        <f t="shared" ref="AL7:AL22" si="20">AH7/SUM($AG7:$AJ7)</f>
        <v>9.3952412512083611E-2</v>
      </c>
      <c r="AM7" s="232">
        <f>AI7/SUM($AG7:$AJ7)</f>
        <v>1.4080702578016819E-2</v>
      </c>
      <c r="AN7" s="232">
        <f t="shared" ref="AN7:AN22" si="21">AJ7/SUM($AG7:$AJ7)</f>
        <v>2.6733792759553201E-2</v>
      </c>
      <c r="AO7">
        <f t="shared" ref="AO7:AO22" si="22">F7*D7/100</f>
        <v>7.3510000000000008E-3</v>
      </c>
      <c r="AT7" s="126" t="s">
        <v>604</v>
      </c>
    </row>
    <row r="8" spans="1:46">
      <c r="A8" s="19" t="s">
        <v>71</v>
      </c>
      <c r="B8" s="232">
        <v>0.91300000000000003</v>
      </c>
      <c r="C8" s="232">
        <v>0</v>
      </c>
      <c r="D8" s="232">
        <v>0</v>
      </c>
      <c r="E8" s="232">
        <v>5.3999999999999999E-2</v>
      </c>
      <c r="F8">
        <v>0.31</v>
      </c>
      <c r="G8" s="116">
        <f>B8*F8*(IF(AND('Résultat - projection'!$B$209=2, 'Résultat - projection'!$B$210&lt;&gt;1),B51/(B51+0.5*D51),1))/F51</f>
        <v>0.20665215493677258</v>
      </c>
      <c r="H8" s="116">
        <f>C239/'Clés de répartition'!$G$243</f>
        <v>3.3790740969602828E-3</v>
      </c>
      <c r="I8" s="116">
        <f>M195+IF(AND('Résultat - projection'!$B$209=2, 'Résultat - projection'!$B$210&lt;&gt;1),B8*F8*0.5*D51/(B51+0.5*D51),0)</f>
        <v>4.9529999999999999E-3</v>
      </c>
      <c r="J8" s="116">
        <f t="shared" ref="J8:J42" si="23">E8*F8</f>
        <v>1.6740000000000001E-2</v>
      </c>
      <c r="K8" s="328">
        <f t="shared" ref="K8:K22" si="24">G8+E8*$F8*B51</f>
        <v>0.21669363513998199</v>
      </c>
      <c r="L8" s="328">
        <f t="shared" ref="L8:L22" si="25">H8+E8*F8*C51</f>
        <v>7.8277753307317462E-3</v>
      </c>
      <c r="M8" s="20">
        <f t="shared" ref="M8:M22" si="26">I8+E8*$F8*D51</f>
        <v>5.2480862027255862E-3</v>
      </c>
      <c r="N8" s="329">
        <f t="shared" ref="N8:N22" si="27">J8*E51</f>
        <v>1.9547323602935249E-3</v>
      </c>
      <c r="O8" s="116">
        <f t="shared" ref="O8:O42" si="28">C8*F8+E8*F8*C51</f>
        <v>4.4487012337714633E-3</v>
      </c>
      <c r="P8" s="329">
        <f t="shared" ref="P8:P42" si="29">L195+F8*E8*D51</f>
        <v>1.8790862027255862E-3</v>
      </c>
      <c r="Q8" s="231">
        <f t="shared" si="0"/>
        <v>0.9351358554242386</v>
      </c>
      <c r="R8" s="231">
        <f t="shared" si="1"/>
        <v>3.3780564783289148E-2</v>
      </c>
      <c r="S8" s="231">
        <f t="shared" si="2"/>
        <v>2.2647982149340131E-2</v>
      </c>
      <c r="T8" s="231">
        <f t="shared" si="3"/>
        <v>8.4355976431319483E-3</v>
      </c>
      <c r="U8" s="232">
        <f t="shared" si="4"/>
        <v>0.96124332405958524</v>
      </c>
      <c r="V8" s="232">
        <f t="shared" si="5"/>
        <v>1.5717776658073262E-2</v>
      </c>
      <c r="W8" s="232">
        <f t="shared" si="6"/>
        <v>2.3038899282341457E-2</v>
      </c>
      <c r="X8" s="232">
        <f t="shared" si="7"/>
        <v>0</v>
      </c>
      <c r="Y8" s="20">
        <f t="shared" si="8"/>
        <v>0.21669363513998199</v>
      </c>
      <c r="Z8" s="20">
        <f t="shared" si="9"/>
        <v>7.8277753307317462E-3</v>
      </c>
      <c r="AA8" s="20">
        <f t="shared" si="10"/>
        <v>6.8320862027255866E-3</v>
      </c>
      <c r="AB8" s="20">
        <f t="shared" si="11"/>
        <v>1.9547323602935249E-3</v>
      </c>
      <c r="AC8" s="159">
        <f t="shared" si="12"/>
        <v>0.92878693579492799</v>
      </c>
      <c r="AD8" s="159">
        <f t="shared" si="13"/>
        <v>3.3551218331008666E-2</v>
      </c>
      <c r="AE8" s="159">
        <f t="shared" si="14"/>
        <v>2.9283520049941187E-2</v>
      </c>
      <c r="AF8" s="159">
        <f t="shared" si="15"/>
        <v>8.3783258241221324E-3</v>
      </c>
      <c r="AG8" s="116">
        <f t="shared" si="16"/>
        <v>0.21669363513998199</v>
      </c>
      <c r="AH8" s="116">
        <f t="shared" si="17"/>
        <v>7.8277753307317462E-3</v>
      </c>
      <c r="AI8" s="116">
        <f t="shared" ref="AI8:AI22" si="30">O195+I8-M195</f>
        <v>0</v>
      </c>
      <c r="AJ8" s="116">
        <f t="shared" si="18"/>
        <v>1.9547323602935249E-3</v>
      </c>
      <c r="AK8" s="232">
        <f t="shared" si="19"/>
        <v>0.95680557091470408</v>
      </c>
      <c r="AL8" s="232">
        <f t="shared" si="20"/>
        <v>3.4563355031053761E-2</v>
      </c>
      <c r="AM8" s="232">
        <f t="shared" ref="AM8:AM22" si="31">AI8/SUM($AG8:$AJ8)</f>
        <v>0</v>
      </c>
      <c r="AN8" s="232">
        <f t="shared" si="21"/>
        <v>8.631074054242056E-3</v>
      </c>
      <c r="AO8">
        <f t="shared" si="22"/>
        <v>0</v>
      </c>
      <c r="AP8" t="s">
        <v>416</v>
      </c>
      <c r="AT8" s="125" t="s">
        <v>605</v>
      </c>
    </row>
    <row r="9" spans="1:46">
      <c r="A9" s="19" t="s">
        <v>72</v>
      </c>
      <c r="B9" s="232">
        <v>0.877</v>
      </c>
      <c r="C9" s="232">
        <v>0</v>
      </c>
      <c r="D9" s="232">
        <v>2.4E-2</v>
      </c>
      <c r="E9" s="232">
        <v>5.7000000000000002E-2</v>
      </c>
      <c r="F9">
        <v>0.87</v>
      </c>
      <c r="G9" s="116">
        <f>B9*F9*(IF(AND('Résultat - projection'!$B$209=2, 'Résultat - projection'!$B$210&lt;&gt;1),B52/(B52+0.5*D52),1))/F52</f>
        <v>0.57758577696497804</v>
      </c>
      <c r="H9" s="116">
        <f>C240/'Clés de répartition'!$G$243</f>
        <v>7.3199266205136405E-3</v>
      </c>
      <c r="I9" s="116">
        <f>M196+IF(AND('Résultat - projection'!$B$209=2, 'Résultat - projection'!$B$210&lt;&gt;1),B9*F9*0.5*D52/(B52+0.5*D52),0)</f>
        <v>3.3847499999999996E-2</v>
      </c>
      <c r="J9" s="116">
        <f t="shared" si="23"/>
        <v>4.9590000000000002E-2</v>
      </c>
      <c r="K9" s="328">
        <f t="shared" si="24"/>
        <v>0.61014321816416306</v>
      </c>
      <c r="L9" s="328">
        <f t="shared" si="25"/>
        <v>2.277206030919169E-2</v>
      </c>
      <c r="M9" s="20">
        <f t="shared" si="26"/>
        <v>3.4243600054473924E-2</v>
      </c>
      <c r="N9" s="329">
        <f t="shared" si="27"/>
        <v>1.1843250576630702E-3</v>
      </c>
      <c r="O9" s="116">
        <f t="shared" si="28"/>
        <v>1.5452133688678048E-2</v>
      </c>
      <c r="P9" s="329">
        <f t="shared" si="29"/>
        <v>7.8451000544739295E-3</v>
      </c>
      <c r="Q9" s="231">
        <f t="shared" si="0"/>
        <v>0.91291901360094563</v>
      </c>
      <c r="R9" s="231">
        <f t="shared" si="1"/>
        <v>3.4072404996452969E-2</v>
      </c>
      <c r="S9" s="231">
        <f t="shared" si="2"/>
        <v>5.1236550129881923E-2</v>
      </c>
      <c r="T9" s="231">
        <f t="shared" si="3"/>
        <v>1.7720312727195651E-3</v>
      </c>
      <c r="U9" s="232">
        <f t="shared" si="4"/>
        <v>0.93346712973450385</v>
      </c>
      <c r="V9" s="232">
        <f t="shared" si="5"/>
        <v>1.1830123186590118E-2</v>
      </c>
      <c r="W9" s="232">
        <f t="shared" si="6"/>
        <v>5.4702747078906017E-2</v>
      </c>
      <c r="X9" s="232">
        <f t="shared" si="7"/>
        <v>0</v>
      </c>
      <c r="Y9" s="20">
        <f t="shared" si="8"/>
        <v>0.61014321816416306</v>
      </c>
      <c r="Z9" s="20">
        <f t="shared" si="9"/>
        <v>2.277206030919169E-2</v>
      </c>
      <c r="AA9" s="20">
        <f t="shared" si="10"/>
        <v>4.1692600054473922E-2</v>
      </c>
      <c r="AB9" s="20">
        <f t="shared" si="11"/>
        <v>1.1843250576630702E-3</v>
      </c>
      <c r="AC9" s="159">
        <f t="shared" si="12"/>
        <v>0.90285625511359768</v>
      </c>
      <c r="AD9" s="159">
        <f t="shared" si="13"/>
        <v>3.3696837856921041E-2</v>
      </c>
      <c r="AE9" s="159">
        <f t="shared" si="14"/>
        <v>6.1694408182380811E-2</v>
      </c>
      <c r="AF9" s="159">
        <f t="shared" si="15"/>
        <v>1.7524988471004845E-3</v>
      </c>
      <c r="AG9" s="116">
        <f t="shared" si="16"/>
        <v>0.61014321816416306</v>
      </c>
      <c r="AH9" s="116">
        <f t="shared" si="17"/>
        <v>2.277206030919169E-2</v>
      </c>
      <c r="AI9" s="116">
        <f t="shared" si="30"/>
        <v>0</v>
      </c>
      <c r="AJ9" s="116">
        <f t="shared" si="18"/>
        <v>1.1843250576630702E-3</v>
      </c>
      <c r="AK9" s="232">
        <f t="shared" si="19"/>
        <v>0.96221983859719784</v>
      </c>
      <c r="AL9" s="232">
        <f t="shared" si="20"/>
        <v>3.5912434233335337E-2</v>
      </c>
      <c r="AM9" s="232">
        <f t="shared" si="31"/>
        <v>0</v>
      </c>
      <c r="AN9" s="232">
        <f t="shared" si="21"/>
        <v>1.8677271694668982E-3</v>
      </c>
      <c r="AO9">
        <f t="shared" si="22"/>
        <v>2.0879999999999998E-4</v>
      </c>
      <c r="AP9" t="s">
        <v>416</v>
      </c>
      <c r="AT9" s="254" t="s">
        <v>606</v>
      </c>
    </row>
    <row r="10" spans="1:46">
      <c r="A10" s="19" t="s">
        <v>73</v>
      </c>
      <c r="B10" s="232">
        <v>0.77100000000000002</v>
      </c>
      <c r="C10" s="232">
        <v>0</v>
      </c>
      <c r="D10" s="232">
        <v>4.0000000000000001E-3</v>
      </c>
      <c r="E10" s="232">
        <v>0.18099999999999999</v>
      </c>
      <c r="F10">
        <v>0.82</v>
      </c>
      <c r="G10" s="116">
        <f>B10*F10*(IF(AND('Résultat - projection'!$B$209=2, 'Résultat - projection'!$B$210&lt;&gt;1),B53/(B53+0.5*D53),1))/F53</f>
        <v>0.46551162018430192</v>
      </c>
      <c r="H10" s="116">
        <f>C241/'Clés de répartition'!$G$243</f>
        <v>3.2756730656047727E-3</v>
      </c>
      <c r="I10" s="116">
        <f>M197+IF(AND('Résultat - projection'!$B$209=2, 'Résultat - projection'!$B$210&lt;&gt;1),B10*F10*0.5*D53/(B53+0.5*D53),0)</f>
        <v>1.9289999999999998E-2</v>
      </c>
      <c r="J10" s="116">
        <f t="shared" si="23"/>
        <v>0.14842</v>
      </c>
      <c r="K10" s="328">
        <f t="shared" si="24"/>
        <v>0.55317396052538359</v>
      </c>
      <c r="L10" s="328">
        <f t="shared" si="25"/>
        <v>5.6939656659064773E-2</v>
      </c>
      <c r="M10" s="20">
        <f t="shared" si="26"/>
        <v>2.077991338435271E-2</v>
      </c>
      <c r="N10" s="329">
        <f t="shared" si="27"/>
        <v>5.6037626811056753E-3</v>
      </c>
      <c r="O10" s="116">
        <f t="shared" si="28"/>
        <v>5.3663983593460002E-2</v>
      </c>
      <c r="P10" s="329">
        <f t="shared" si="29"/>
        <v>2.2774133843527109E-3</v>
      </c>
      <c r="Q10" s="231">
        <f t="shared" si="0"/>
        <v>0.86909082943765481</v>
      </c>
      <c r="R10" s="231">
        <f t="shared" si="1"/>
        <v>8.9457814295384075E-2</v>
      </c>
      <c r="S10" s="231">
        <f t="shared" si="2"/>
        <v>3.2647292619662302E-2</v>
      </c>
      <c r="T10" s="231">
        <f t="shared" si="3"/>
        <v>8.8040636472989393E-3</v>
      </c>
      <c r="U10" s="232">
        <f t="shared" si="4"/>
        <v>0.95376618954069925</v>
      </c>
      <c r="V10" s="232">
        <f t="shared" si="5"/>
        <v>6.7113818055197939E-3</v>
      </c>
      <c r="W10" s="232">
        <f t="shared" si="6"/>
        <v>3.9522428653781028E-2</v>
      </c>
      <c r="X10" s="232">
        <f t="shared" si="7"/>
        <v>0</v>
      </c>
      <c r="Y10" s="20">
        <f t="shared" si="8"/>
        <v>0.55317396052538359</v>
      </c>
      <c r="Z10" s="20">
        <f t="shared" si="9"/>
        <v>5.6939656659064773E-2</v>
      </c>
      <c r="AA10" s="20">
        <f t="shared" si="10"/>
        <v>2.156741338435271E-2</v>
      </c>
      <c r="AB10" s="20">
        <f t="shared" si="11"/>
        <v>5.6037626811056753E-3</v>
      </c>
      <c r="AC10" s="159">
        <f t="shared" si="12"/>
        <v>0.86801688410672673</v>
      </c>
      <c r="AD10" s="159">
        <f t="shared" si="13"/>
        <v>8.9347270266240744E-2</v>
      </c>
      <c r="AE10" s="159">
        <f t="shared" si="14"/>
        <v>3.3842661260387555E-2</v>
      </c>
      <c r="AF10" s="159">
        <f t="shared" si="15"/>
        <v>8.7931843666450068E-3</v>
      </c>
      <c r="AG10" s="116">
        <f t="shared" si="16"/>
        <v>0.55317396052538359</v>
      </c>
      <c r="AH10" s="116">
        <f t="shared" si="17"/>
        <v>5.6939656659064773E-2</v>
      </c>
      <c r="AI10" s="116">
        <f t="shared" si="30"/>
        <v>0</v>
      </c>
      <c r="AJ10" s="116">
        <f t="shared" si="18"/>
        <v>5.6037626811056753E-3</v>
      </c>
      <c r="AK10" s="232">
        <f t="shared" si="19"/>
        <v>0.8984218711613644</v>
      </c>
      <c r="AL10" s="232">
        <f t="shared" si="20"/>
        <v>9.2476935881683139E-2</v>
      </c>
      <c r="AM10" s="232">
        <f t="shared" si="31"/>
        <v>0</v>
      </c>
      <c r="AN10" s="232">
        <f t="shared" si="21"/>
        <v>9.1011929569525789E-3</v>
      </c>
      <c r="AO10">
        <f t="shared" si="22"/>
        <v>3.2799999999999998E-5</v>
      </c>
      <c r="AP10" t="s">
        <v>416</v>
      </c>
      <c r="AT10" s="216" t="s">
        <v>607</v>
      </c>
    </row>
    <row r="11" spans="1:46">
      <c r="A11" s="19" t="s">
        <v>74</v>
      </c>
      <c r="B11" s="232">
        <v>0.86099999999999999</v>
      </c>
      <c r="C11" s="232">
        <v>1.4999999999999999E-2</v>
      </c>
      <c r="D11" s="232">
        <v>1.0999999999999999E-2</v>
      </c>
      <c r="E11" s="232">
        <v>5.8000000000000003E-2</v>
      </c>
      <c r="F11">
        <v>1.91</v>
      </c>
      <c r="G11" s="116">
        <f>B11*F11*(IF(AND('Résultat - projection'!$B$209=2, 'Résultat - projection'!$B$210&lt;&gt;1),B54/(B54+0.5*D54),1))/F54</f>
        <v>1.2591301864618067</v>
      </c>
      <c r="H11" s="116">
        <f>C242/'Clés de répartition'!$G$243</f>
        <v>8.9571822225859524E-3</v>
      </c>
      <c r="I11" s="116">
        <f>M198+IF(AND('Résultat - projection'!$B$209=2, 'Résultat - projection'!$B$210&lt;&gt;1),B11*F11*0.5*D54/(B54+0.5*D54),0)</f>
        <v>1.28565E-2</v>
      </c>
      <c r="J11" s="116">
        <f t="shared" si="23"/>
        <v>0.11078</v>
      </c>
      <c r="K11" s="328">
        <f t="shared" si="24"/>
        <v>1.3405652204518743</v>
      </c>
      <c r="L11" s="328">
        <f t="shared" si="25"/>
        <v>3.5298986952700818E-2</v>
      </c>
      <c r="M11" s="20">
        <f t="shared" si="26"/>
        <v>1.3242138687617032E-2</v>
      </c>
      <c r="N11" s="329">
        <f t="shared" si="27"/>
        <v>2.6175225922006034E-3</v>
      </c>
      <c r="O11" s="116">
        <f t="shared" si="28"/>
        <v>5.4991804730114863E-2</v>
      </c>
      <c r="P11" s="329">
        <f t="shared" si="29"/>
        <v>1.3978638687617031E-2</v>
      </c>
      <c r="Q11" s="231">
        <f t="shared" si="0"/>
        <v>0.96324080560544034</v>
      </c>
      <c r="R11" s="231">
        <f t="shared" si="1"/>
        <v>2.5363499000753093E-2</v>
      </c>
      <c r="S11" s="231">
        <f t="shared" si="2"/>
        <v>9.514918142587387E-3</v>
      </c>
      <c r="T11" s="231">
        <f t="shared" si="3"/>
        <v>1.8807772512193586E-3</v>
      </c>
      <c r="U11" s="232">
        <f t="shared" si="4"/>
        <v>0.98297061818564302</v>
      </c>
      <c r="V11" s="232">
        <f t="shared" si="5"/>
        <v>6.9926422551095258E-3</v>
      </c>
      <c r="W11" s="232">
        <f t="shared" si="6"/>
        <v>1.003673955924736E-2</v>
      </c>
      <c r="X11" s="232">
        <f t="shared" si="7"/>
        <v>0</v>
      </c>
      <c r="Y11" s="20">
        <f t="shared" si="8"/>
        <v>1.3405652204518743</v>
      </c>
      <c r="Z11" s="20">
        <f t="shared" si="9"/>
        <v>3.5298986952700818E-2</v>
      </c>
      <c r="AA11" s="20">
        <f t="shared" si="10"/>
        <v>2.6835138687617031E-2</v>
      </c>
      <c r="AB11" s="20">
        <f t="shared" si="11"/>
        <v>2.6175225922006034E-3</v>
      </c>
      <c r="AC11" s="159">
        <f t="shared" si="12"/>
        <v>0.9539238091597545</v>
      </c>
      <c r="AD11" s="159">
        <f t="shared" si="13"/>
        <v>2.5118169246588825E-2</v>
      </c>
      <c r="AE11" s="159">
        <f t="shared" si="14"/>
        <v>1.9095436257546047E-2</v>
      </c>
      <c r="AF11" s="159">
        <f t="shared" si="15"/>
        <v>1.8625853361107338E-3</v>
      </c>
      <c r="AG11" s="116">
        <f t="shared" si="16"/>
        <v>1.3405652204518743</v>
      </c>
      <c r="AH11" s="116">
        <f t="shared" si="17"/>
        <v>3.5298986952700818E-2</v>
      </c>
      <c r="AI11" s="116">
        <f t="shared" si="30"/>
        <v>0</v>
      </c>
      <c r="AJ11" s="116">
        <f t="shared" si="18"/>
        <v>2.6175225922006034E-3</v>
      </c>
      <c r="AK11" s="232">
        <f t="shared" si="19"/>
        <v>0.97249400647117035</v>
      </c>
      <c r="AL11" s="232">
        <f t="shared" si="20"/>
        <v>2.5607148926655263E-2</v>
      </c>
      <c r="AM11" s="232">
        <f t="shared" si="31"/>
        <v>0</v>
      </c>
      <c r="AN11" s="232">
        <f t="shared" si="21"/>
        <v>1.8988446021745433E-3</v>
      </c>
      <c r="AO11">
        <f t="shared" si="22"/>
        <v>2.1009999999999998E-4</v>
      </c>
      <c r="AP11" t="s">
        <v>416</v>
      </c>
    </row>
    <row r="12" spans="1:46">
      <c r="A12" s="19" t="s">
        <v>86</v>
      </c>
      <c r="B12" s="232">
        <v>0.81299999999999994</v>
      </c>
      <c r="C12" s="232">
        <v>0</v>
      </c>
      <c r="D12" s="232">
        <v>1.4E-2</v>
      </c>
      <c r="E12" s="232">
        <v>0.11700000000000001</v>
      </c>
      <c r="F12">
        <v>1.38</v>
      </c>
      <c r="G12" s="116">
        <f>B12*F12*(IF(AND('Résultat - projection'!$B$209=2, 'Résultat - projection'!$B$210&lt;&gt;1),B55/(B55+0.5*D55),1))/F55</f>
        <v>0.92411883450814314</v>
      </c>
      <c r="H12" s="116">
        <f>C243/'Clés de répartition'!$G$243</f>
        <v>1.9167232529219157E-2</v>
      </c>
      <c r="I12" s="116">
        <f>M199+IF(AND('Résultat - projection'!$B$209=2, 'Résultat - projection'!$B$210&lt;&gt;1),B12*F12*0.5*D55/(B55+0.5*D55),0)</f>
        <v>1.5743999999999998E-2</v>
      </c>
      <c r="J12" s="116">
        <f t="shared" si="23"/>
        <v>0.16145999999999999</v>
      </c>
      <c r="K12" s="328">
        <f t="shared" si="24"/>
        <v>1.0353814888077411</v>
      </c>
      <c r="L12" s="328">
        <f t="shared" si="25"/>
        <v>6.0467513286393215E-2</v>
      </c>
      <c r="M12" s="20">
        <f t="shared" si="26"/>
        <v>1.8020361116259584E-2</v>
      </c>
      <c r="N12" s="329">
        <f t="shared" si="27"/>
        <v>6.6207038269684724E-3</v>
      </c>
      <c r="O12" s="116">
        <f t="shared" si="28"/>
        <v>4.1300280757174061E-2</v>
      </c>
      <c r="P12" s="329">
        <f t="shared" si="29"/>
        <v>1.0242861116259584E-2</v>
      </c>
      <c r="Q12" s="231">
        <f t="shared" si="0"/>
        <v>0.92404343355345131</v>
      </c>
      <c r="R12" s="231">
        <f t="shared" si="1"/>
        <v>5.3965238126807015E-2</v>
      </c>
      <c r="S12" s="231">
        <f t="shared" si="2"/>
        <v>1.608257105206333E-2</v>
      </c>
      <c r="T12" s="231">
        <f t="shared" si="3"/>
        <v>5.9087572676784E-3</v>
      </c>
      <c r="U12" s="232">
        <f t="shared" si="4"/>
        <v>0.96359735348333031</v>
      </c>
      <c r="V12" s="232">
        <f t="shared" si="5"/>
        <v>1.9986060070494572E-2</v>
      </c>
      <c r="W12" s="232">
        <f t="shared" si="6"/>
        <v>1.6416586446175139E-2</v>
      </c>
      <c r="X12" s="232">
        <f t="shared" si="7"/>
        <v>0</v>
      </c>
      <c r="Y12" s="20">
        <f t="shared" si="8"/>
        <v>1.0353814888077411</v>
      </c>
      <c r="Z12" s="20">
        <f t="shared" si="9"/>
        <v>6.0467513286393215E-2</v>
      </c>
      <c r="AA12" s="20">
        <f t="shared" si="10"/>
        <v>2.5986861116259585E-2</v>
      </c>
      <c r="AB12" s="20">
        <f t="shared" si="11"/>
        <v>6.6207038269684724E-3</v>
      </c>
      <c r="AC12" s="159">
        <f t="shared" si="12"/>
        <v>0.91752001720901</v>
      </c>
      <c r="AD12" s="159">
        <f t="shared" si="13"/>
        <v>5.358426283533798E-2</v>
      </c>
      <c r="AE12" s="159">
        <f t="shared" si="14"/>
        <v>2.3028676402216532E-2</v>
      </c>
      <c r="AF12" s="159">
        <f t="shared" si="15"/>
        <v>5.8670435534354656E-3</v>
      </c>
      <c r="AG12" s="116">
        <f t="shared" si="16"/>
        <v>1.0353814888077411</v>
      </c>
      <c r="AH12" s="116">
        <f t="shared" si="17"/>
        <v>6.0467513286393215E-2</v>
      </c>
      <c r="AI12" s="116">
        <f t="shared" si="30"/>
        <v>0</v>
      </c>
      <c r="AJ12" s="116">
        <f t="shared" si="18"/>
        <v>6.6207038269684724E-3</v>
      </c>
      <c r="AK12" s="232">
        <f t="shared" si="19"/>
        <v>0.93914733733448919</v>
      </c>
      <c r="AL12" s="232">
        <f t="shared" si="20"/>
        <v>5.4847324113884099E-2</v>
      </c>
      <c r="AM12" s="232">
        <f t="shared" si="31"/>
        <v>0</v>
      </c>
      <c r="AN12" s="232">
        <f t="shared" si="21"/>
        <v>6.0053385516266296E-3</v>
      </c>
      <c r="AO12">
        <f t="shared" si="22"/>
        <v>1.9320000000000001E-4</v>
      </c>
      <c r="AP12" t="s">
        <v>416</v>
      </c>
    </row>
    <row r="13" spans="1:46">
      <c r="A13" s="19" t="s">
        <v>76</v>
      </c>
      <c r="B13" s="232">
        <v>0.74099999999999999</v>
      </c>
      <c r="C13" s="232">
        <v>0</v>
      </c>
      <c r="D13" s="232">
        <v>0</v>
      </c>
      <c r="E13" s="232">
        <v>0.20100000000000001</v>
      </c>
      <c r="F13">
        <v>0.32</v>
      </c>
      <c r="G13" s="116">
        <f>B13*F13*(IF(AND('Résultat - projection'!$B$209=2, 'Résultat - projection'!$B$210&lt;&gt;1),B56/(B56+0.5*D56),1))/F56</f>
        <v>0.17562923943040135</v>
      </c>
      <c r="H13" s="116">
        <f>C244/'Clés de répartition'!$G$243</f>
        <v>5.2699618457757648E-4</v>
      </c>
      <c r="I13" s="116">
        <f>M200+IF(AND('Résultat - projection'!$B$209=2, 'Résultat - projection'!$B$210&lt;&gt;1),B13*F13*0.5*D56/(B56+0.5*D56),0)</f>
        <v>0</v>
      </c>
      <c r="J13" s="116">
        <f t="shared" si="23"/>
        <v>6.4320000000000002E-2</v>
      </c>
      <c r="K13" s="328">
        <f t="shared" si="24"/>
        <v>0.20545817422992307</v>
      </c>
      <c r="L13" s="328">
        <f t="shared" si="25"/>
        <v>2.9996848984200311E-2</v>
      </c>
      <c r="M13" s="20">
        <f t="shared" si="26"/>
        <v>7.2921201017126294E-4</v>
      </c>
      <c r="N13" s="329">
        <f t="shared" si="27"/>
        <v>4.2920003906842001E-3</v>
      </c>
      <c r="O13" s="116">
        <f t="shared" si="28"/>
        <v>2.9469852799622734E-2</v>
      </c>
      <c r="P13" s="329">
        <f t="shared" si="29"/>
        <v>7.2921201017126294E-4</v>
      </c>
      <c r="Q13" s="231">
        <f t="shared" si="0"/>
        <v>0.85438036612847523</v>
      </c>
      <c r="R13" s="231">
        <f t="shared" si="1"/>
        <v>0.12473934859920047</v>
      </c>
      <c r="S13" s="231">
        <f t="shared" si="2"/>
        <v>3.0323662057767245E-3</v>
      </c>
      <c r="T13" s="231">
        <f t="shared" si="3"/>
        <v>1.7847919066547709E-2</v>
      </c>
      <c r="U13" s="232">
        <f t="shared" si="4"/>
        <v>0.99700835918332509</v>
      </c>
      <c r="V13" s="232">
        <f t="shared" si="5"/>
        <v>2.9916408166749276E-3</v>
      </c>
      <c r="W13" s="232">
        <f t="shared" si="6"/>
        <v>0</v>
      </c>
      <c r="X13" s="232">
        <f t="shared" si="7"/>
        <v>0</v>
      </c>
      <c r="Y13" s="20">
        <f t="shared" si="8"/>
        <v>0.20545817422992307</v>
      </c>
      <c r="Z13" s="20">
        <f t="shared" si="9"/>
        <v>2.9996848984200311E-2</v>
      </c>
      <c r="AA13" s="20">
        <f t="shared" si="10"/>
        <v>7.2921201017126294E-4</v>
      </c>
      <c r="AB13" s="20">
        <f t="shared" si="11"/>
        <v>4.2920003906842001E-3</v>
      </c>
      <c r="AC13" s="159">
        <f t="shared" si="12"/>
        <v>0.85438036612847523</v>
      </c>
      <c r="AD13" s="159">
        <f t="shared" si="13"/>
        <v>0.12473934859920047</v>
      </c>
      <c r="AE13" s="159">
        <f t="shared" si="14"/>
        <v>3.0323662057767245E-3</v>
      </c>
      <c r="AF13" s="159">
        <f t="shared" si="15"/>
        <v>1.7847919066547709E-2</v>
      </c>
      <c r="AG13" s="116">
        <f t="shared" si="16"/>
        <v>0.20545817422992307</v>
      </c>
      <c r="AH13" s="116">
        <f t="shared" si="17"/>
        <v>2.9996848984200311E-2</v>
      </c>
      <c r="AI13" s="116">
        <f t="shared" si="30"/>
        <v>0</v>
      </c>
      <c r="AJ13" s="116">
        <f t="shared" si="18"/>
        <v>4.2920003906842001E-3</v>
      </c>
      <c r="AK13" s="232">
        <f t="shared" si="19"/>
        <v>0.85697904040967243</v>
      </c>
      <c r="AL13" s="232">
        <f t="shared" si="20"/>
        <v>0.12511875448200055</v>
      </c>
      <c r="AM13" s="232">
        <f t="shared" si="31"/>
        <v>0</v>
      </c>
      <c r="AN13" s="232">
        <f t="shared" si="21"/>
        <v>1.7902205108327084E-2</v>
      </c>
      <c r="AO13">
        <f t="shared" si="22"/>
        <v>0</v>
      </c>
      <c r="AP13" t="s">
        <v>416</v>
      </c>
    </row>
    <row r="14" spans="1:46">
      <c r="A14" s="19" t="s">
        <v>727</v>
      </c>
      <c r="B14" s="232">
        <v>0.86599999999999999</v>
      </c>
      <c r="C14" s="232">
        <v>0</v>
      </c>
      <c r="D14" s="232">
        <v>6.0000000000000001E-3</v>
      </c>
      <c r="E14" s="232">
        <v>5.8000000000000003E-2</v>
      </c>
      <c r="F14">
        <v>1.18</v>
      </c>
      <c r="G14" s="116">
        <f>B14*F14*(IF(AND('Résultat - projection'!$B$209=2, 'Résultat - projection'!$B$210&lt;&gt;1),B57/(B57+0.5*D57),1))/F57</f>
        <v>0.81333796885031528</v>
      </c>
      <c r="H14" s="116">
        <f>C245/'Clés de répartition'!$G$243</f>
        <v>5.6653348846000271E-3</v>
      </c>
      <c r="I14" s="116">
        <f>M201+IF(AND('Résultat - projection'!$B$209=2, 'Résultat - projection'!$B$210&lt;&gt;1),B14*F14*0.5*D57/(B57+0.5*D57),0)</f>
        <v>4.8974999999999999E-3</v>
      </c>
      <c r="J14" s="116">
        <f t="shared" si="23"/>
        <v>6.8440000000000001E-2</v>
      </c>
      <c r="K14" s="328">
        <f t="shared" si="24"/>
        <v>0.86364552357139668</v>
      </c>
      <c r="L14" s="328">
        <f t="shared" si="25"/>
        <v>2.2877356720131539E-2</v>
      </c>
      <c r="M14" s="20">
        <f t="shared" si="26"/>
        <v>4.9942777896268623E-3</v>
      </c>
      <c r="N14" s="329">
        <f>J14*E57</f>
        <v>8.2364565376021395E-4</v>
      </c>
      <c r="O14" s="116">
        <f t="shared" si="28"/>
        <v>1.7212021835531513E-2</v>
      </c>
      <c r="P14" s="329">
        <f>L201+F14*E14*D57</f>
        <v>1.1443153472616953E-4</v>
      </c>
      <c r="Q14" s="231">
        <f t="shared" si="0"/>
        <v>0.96784268965017184</v>
      </c>
      <c r="R14" s="231">
        <f t="shared" si="1"/>
        <v>2.5637465668248916E-2</v>
      </c>
      <c r="S14" s="231">
        <f t="shared" si="2"/>
        <v>5.5968277688560062E-3</v>
      </c>
      <c r="T14" s="231">
        <f t="shared" si="3"/>
        <v>9.2301691272305808E-4</v>
      </c>
      <c r="U14" s="232">
        <f t="shared" si="4"/>
        <v>0.98717948224262375</v>
      </c>
      <c r="V14" s="232">
        <f t="shared" si="5"/>
        <v>6.8762342006681802E-3</v>
      </c>
      <c r="W14" s="232">
        <f t="shared" si="6"/>
        <v>5.944283556708045E-3</v>
      </c>
      <c r="X14" s="232">
        <f t="shared" si="7"/>
        <v>0</v>
      </c>
      <c r="Y14" s="20">
        <f t="shared" si="8"/>
        <v>0.86364552357139668</v>
      </c>
      <c r="Z14" s="20">
        <f t="shared" si="9"/>
        <v>2.2877356720131539E-2</v>
      </c>
      <c r="AA14" s="20">
        <f t="shared" si="10"/>
        <v>5.0119315347261694E-3</v>
      </c>
      <c r="AB14" s="20">
        <f t="shared" si="11"/>
        <v>8.2364565376021395E-4</v>
      </c>
      <c r="AC14" s="159">
        <f t="shared" si="12"/>
        <v>0.96782354258208958</v>
      </c>
      <c r="AD14" s="159">
        <f t="shared" si="13"/>
        <v>2.5636958476010076E-2</v>
      </c>
      <c r="AE14" s="159">
        <f t="shared" si="14"/>
        <v>5.6165002894460912E-3</v>
      </c>
      <c r="AF14" s="159">
        <f t="shared" si="15"/>
        <v>9.2299865245425822E-4</v>
      </c>
      <c r="AG14" s="116">
        <f t="shared" si="16"/>
        <v>0.86364552357139668</v>
      </c>
      <c r="AH14" s="116">
        <f t="shared" si="17"/>
        <v>2.2877356720131539E-2</v>
      </c>
      <c r="AI14" s="116">
        <f t="shared" si="30"/>
        <v>0</v>
      </c>
      <c r="AJ14" s="116">
        <f t="shared" si="18"/>
        <v>8.2364565376021395E-4</v>
      </c>
      <c r="AK14" s="232">
        <f t="shared" si="19"/>
        <v>0.97329002629649874</v>
      </c>
      <c r="AL14" s="232">
        <f t="shared" si="20"/>
        <v>2.5781761748332011E-2</v>
      </c>
      <c r="AM14" s="232">
        <f t="shared" si="31"/>
        <v>0</v>
      </c>
      <c r="AN14" s="232">
        <f t="shared" si="21"/>
        <v>9.2821195516913288E-4</v>
      </c>
      <c r="AO14">
        <f t="shared" si="22"/>
        <v>7.08E-5</v>
      </c>
      <c r="AP14" t="s">
        <v>416</v>
      </c>
    </row>
    <row r="15" spans="1:46">
      <c r="A15" s="19" t="s">
        <v>79</v>
      </c>
      <c r="B15" s="232" cm="1">
        <f t="array" ref="B15">SUM(B24:B42*$F24:$F42)/$F$15</f>
        <v>0.73761101028433151</v>
      </c>
      <c r="C15" s="232" cm="1">
        <f t="array" ref="C15">SUM(C24:C42*$F24:$F42)/$F$15</f>
        <v>1.0284331518451302E-2</v>
      </c>
      <c r="D15" s="232" cm="1">
        <f t="array" ref="D15">SUM(D24:D42*$F24:$F42)/$F$15</f>
        <v>1.3041742286751364E-2</v>
      </c>
      <c r="E15" s="232" cm="1">
        <f t="array" ref="E15">SUM(E24:E42*$F24:$F42)/$F$15</f>
        <v>0.18820548497680989</v>
      </c>
      <c r="F15" s="20">
        <f>SUM(F24:F42)</f>
        <v>49.589999999999996</v>
      </c>
      <c r="G15" s="116">
        <f>B15*F15*(IF(AND('Résultat - projection'!$B$209=2, 'Résultat - projection'!$B$210&lt;&gt;1),B58/(B58+0.5*D58),1))/F58</f>
        <v>29.492132278565112</v>
      </c>
      <c r="H15" s="116">
        <f>C246/'Clés de répartition'!$G$243</f>
        <v>0.34340748743134464</v>
      </c>
      <c r="I15" s="116">
        <f>M202+IF(AND('Résultat - projection'!$B$209=2, 'Résultat - projection'!$B$210&lt;&gt;1),B15*F15*0.5*D58/(B58+0.5*D58),0)</f>
        <v>0.7606139999999999</v>
      </c>
      <c r="J15" s="116">
        <f t="shared" si="23"/>
        <v>9.3331100000000013</v>
      </c>
      <c r="K15" s="328">
        <f t="shared" si="24"/>
        <v>33.566096440363303</v>
      </c>
      <c r="L15" s="328">
        <f t="shared" si="25"/>
        <v>4.0479679108486497</v>
      </c>
      <c r="M15" s="20">
        <f t="shared" si="26"/>
        <v>1.107527423782062</v>
      </c>
      <c r="N15" s="329">
        <f t="shared" si="27"/>
        <v>1.2076719910024427</v>
      </c>
      <c r="O15" s="116">
        <f t="shared" si="28"/>
        <v>4.2145604234173053</v>
      </c>
      <c r="P15" s="329">
        <f t="shared" si="29"/>
        <v>0.78485492378206223</v>
      </c>
      <c r="Q15" s="231">
        <f t="shared" si="0"/>
        <v>0.84063900193792229</v>
      </c>
      <c r="R15" s="231">
        <f t="shared" si="1"/>
        <v>0.10137847606135622</v>
      </c>
      <c r="S15" s="231">
        <f t="shared" si="2"/>
        <v>2.7737236285464057E-2</v>
      </c>
      <c r="T15" s="231">
        <f t="shared" si="3"/>
        <v>3.0245285715257534E-2</v>
      </c>
      <c r="U15" s="232">
        <f t="shared" si="4"/>
        <v>0.96391633092593754</v>
      </c>
      <c r="V15" s="232">
        <f t="shared" si="5"/>
        <v>1.1223877682723513E-2</v>
      </c>
      <c r="W15" s="232">
        <f t="shared" si="6"/>
        <v>2.4859791391338894E-2</v>
      </c>
      <c r="X15" s="232">
        <f t="shared" si="7"/>
        <v>0</v>
      </c>
      <c r="Y15" s="20">
        <f t="shared" si="8"/>
        <v>33.566096440363303</v>
      </c>
      <c r="Z15" s="20">
        <f t="shared" si="9"/>
        <v>4.0479679108486497</v>
      </c>
      <c r="AA15" s="20">
        <f t="shared" si="10"/>
        <v>1.545468923782062</v>
      </c>
      <c r="AB15" s="20">
        <f t="shared" si="11"/>
        <v>1.2076719910024427</v>
      </c>
      <c r="AC15" s="159">
        <f t="shared" si="12"/>
        <v>0.83151895750974603</v>
      </c>
      <c r="AD15" s="159">
        <f t="shared" si="13"/>
        <v>0.1002786267757426</v>
      </c>
      <c r="AE15" s="159">
        <f t="shared" si="14"/>
        <v>3.8285259373254076E-2</v>
      </c>
      <c r="AF15" s="159">
        <f t="shared" si="15"/>
        <v>2.9917156341257346E-2</v>
      </c>
      <c r="AG15" s="116">
        <f t="shared" si="16"/>
        <v>33.566096440363303</v>
      </c>
      <c r="AH15" s="116">
        <f t="shared" si="17"/>
        <v>4.0479679108486497</v>
      </c>
      <c r="AI15" s="116">
        <f t="shared" si="30"/>
        <v>0.67717640066038265</v>
      </c>
      <c r="AJ15" s="116">
        <f t="shared" si="18"/>
        <v>1.2076719910024427</v>
      </c>
      <c r="AK15" s="232">
        <f t="shared" si="19"/>
        <v>0.84979798453865796</v>
      </c>
      <c r="AL15" s="232">
        <f t="shared" si="20"/>
        <v>0.10248302117072486</v>
      </c>
      <c r="AM15" s="232">
        <f t="shared" si="31"/>
        <v>1.7144178247856676E-2</v>
      </c>
      <c r="AN15" s="232">
        <f t="shared" si="21"/>
        <v>3.0574816042760442E-2</v>
      </c>
      <c r="AO15">
        <f t="shared" si="22"/>
        <v>6.4674000000000008E-3</v>
      </c>
      <c r="AP15" t="s">
        <v>417</v>
      </c>
    </row>
    <row r="16" spans="1:46">
      <c r="A16" s="19" t="s">
        <v>80</v>
      </c>
      <c r="B16" s="232">
        <v>0.84299999999999997</v>
      </c>
      <c r="C16" s="232">
        <v>2E-3</v>
      </c>
      <c r="D16" s="232">
        <v>3.0000000000000001E-3</v>
      </c>
      <c r="E16" s="232">
        <v>0.121</v>
      </c>
      <c r="F16">
        <v>0.53</v>
      </c>
      <c r="G16" s="116">
        <f>B16*F16*(IF(AND('Résultat - projection'!$B$209=2, 'Résultat - projection'!$B$210&lt;&gt;1),B59/(B59+0.5*D59),1))/F59</f>
        <v>0.38036860603591466</v>
      </c>
      <c r="H16" s="116">
        <f>C247/'Clés de répartition'!$G$243</f>
        <v>5.1080370123946679E-3</v>
      </c>
      <c r="I16" s="116">
        <f>M203+IF(AND('Résultat - projection'!$B$209=2, 'Résultat - projection'!$B$210&lt;&gt;1),B16*F16*0.5*D59/(B59+0.5*D59),0)</f>
        <v>1.227E-3</v>
      </c>
      <c r="J16" s="116">
        <f t="shared" si="23"/>
        <v>6.4130000000000006E-2</v>
      </c>
      <c r="K16" s="328">
        <f t="shared" si="24"/>
        <v>0.41879105657522103</v>
      </c>
      <c r="L16" s="328">
        <f t="shared" si="25"/>
        <v>2.5221968099765641E-2</v>
      </c>
      <c r="M16" s="20">
        <f t="shared" si="26"/>
        <v>1.6266679704160657E-3</v>
      </c>
      <c r="N16" s="329">
        <f t="shared" si="27"/>
        <v>5.1939504029067133E-3</v>
      </c>
      <c r="O16" s="116">
        <f t="shared" si="28"/>
        <v>2.1173931087370972E-2</v>
      </c>
      <c r="P16" s="329">
        <f t="shared" si="29"/>
        <v>5.1816679704160661E-3</v>
      </c>
      <c r="Q16" s="231">
        <f t="shared" si="0"/>
        <v>0.92892591986606721</v>
      </c>
      <c r="R16" s="231">
        <f t="shared" si="1"/>
        <v>5.5945177314690689E-2</v>
      </c>
      <c r="S16" s="231">
        <f t="shared" si="2"/>
        <v>3.6081335000142365E-3</v>
      </c>
      <c r="T16" s="231">
        <f t="shared" si="3"/>
        <v>1.1520769319227917E-2</v>
      </c>
      <c r="U16" s="232">
        <f t="shared" si="4"/>
        <v>0.98361785019024706</v>
      </c>
      <c r="V16" s="232">
        <f t="shared" si="5"/>
        <v>1.3209177374510904E-2</v>
      </c>
      <c r="W16" s="232">
        <f t="shared" si="6"/>
        <v>3.1729724352421371E-3</v>
      </c>
      <c r="X16" s="232">
        <f t="shared" si="7"/>
        <v>0</v>
      </c>
      <c r="Y16" s="20">
        <f t="shared" si="8"/>
        <v>0.41879105657522103</v>
      </c>
      <c r="Z16" s="20">
        <f t="shared" si="9"/>
        <v>2.5221968099765641E-2</v>
      </c>
      <c r="AA16" s="20">
        <f t="shared" si="10"/>
        <v>6.4086679704160668E-3</v>
      </c>
      <c r="AB16" s="20">
        <f t="shared" si="11"/>
        <v>5.1939504029067133E-3</v>
      </c>
      <c r="AC16" s="159">
        <f t="shared" si="12"/>
        <v>0.91917620249666487</v>
      </c>
      <c r="AD16" s="159">
        <f t="shared" si="13"/>
        <v>5.5357994143961663E-2</v>
      </c>
      <c r="AE16" s="159">
        <f t="shared" si="14"/>
        <v>1.4065952449610139E-2</v>
      </c>
      <c r="AF16" s="159">
        <f t="shared" si="15"/>
        <v>1.1399850909763415E-2</v>
      </c>
      <c r="AG16" s="116">
        <f t="shared" si="16"/>
        <v>0.41879105657522103</v>
      </c>
      <c r="AH16" s="116">
        <f t="shared" si="17"/>
        <v>2.5221968099765641E-2</v>
      </c>
      <c r="AI16" s="116">
        <f t="shared" si="30"/>
        <v>0</v>
      </c>
      <c r="AJ16" s="116">
        <f t="shared" si="18"/>
        <v>5.1939504029067133E-3</v>
      </c>
      <c r="AK16" s="232">
        <f t="shared" si="19"/>
        <v>0.93228974572935308</v>
      </c>
      <c r="AL16" s="232">
        <f t="shared" si="20"/>
        <v>5.6147765949965719E-2</v>
      </c>
      <c r="AM16" s="232">
        <f t="shared" si="31"/>
        <v>0</v>
      </c>
      <c r="AN16" s="232">
        <f t="shared" si="21"/>
        <v>1.156248832068129E-2</v>
      </c>
      <c r="AO16">
        <f t="shared" si="22"/>
        <v>1.59E-5</v>
      </c>
      <c r="AP16" t="s">
        <v>416</v>
      </c>
    </row>
    <row r="17" spans="1:56">
      <c r="A17" s="19" t="s">
        <v>81</v>
      </c>
      <c r="B17" s="232">
        <v>0.74</v>
      </c>
      <c r="C17" s="232">
        <v>0.01</v>
      </c>
      <c r="D17" s="232">
        <v>0</v>
      </c>
      <c r="E17" s="232">
        <v>0.221</v>
      </c>
      <c r="F17">
        <v>0.22</v>
      </c>
      <c r="G17" s="116">
        <f>B17*F17*(IF(AND('Résultat - projection'!$B$209=2, 'Résultat - projection'!$B$210&lt;&gt;1),B60/(B60+0.5*D60),1))/F60</f>
        <v>0.10892914158011111</v>
      </c>
      <c r="H17" s="116">
        <f>C248/'Clés de répartition'!$G$243</f>
        <v>1.4764602026553907E-3</v>
      </c>
      <c r="I17" s="116">
        <f>M204+IF(AND('Résultat - projection'!$B$209=2, 'Résultat - projection'!$B$210&lt;&gt;1),B17*F17*0.5*D60/(B60+0.5*D60),0)</f>
        <v>1.059E-3</v>
      </c>
      <c r="J17" s="116">
        <f t="shared" si="23"/>
        <v>4.8620000000000003E-2</v>
      </c>
      <c r="K17" s="328">
        <f t="shared" si="24"/>
        <v>0.13280501735081388</v>
      </c>
      <c r="L17" s="328">
        <f t="shared" si="25"/>
        <v>2.2561175525951192E-2</v>
      </c>
      <c r="M17" s="20">
        <f t="shared" si="26"/>
        <v>2.2423304546538526E-3</v>
      </c>
      <c r="N17" s="329">
        <f t="shared" si="27"/>
        <v>2.4760784513476151E-3</v>
      </c>
      <c r="O17" s="116">
        <f t="shared" si="28"/>
        <v>2.3284715323295801E-2</v>
      </c>
      <c r="P17" s="329">
        <f t="shared" si="29"/>
        <v>1.3033304546538527E-3</v>
      </c>
      <c r="Q17" s="231">
        <f t="shared" si="0"/>
        <v>0.82959270205781044</v>
      </c>
      <c r="R17" s="231">
        <f t="shared" si="1"/>
        <v>0.14093282723448017</v>
      </c>
      <c r="S17" s="231">
        <f t="shared" si="2"/>
        <v>1.4007158900246236E-2</v>
      </c>
      <c r="T17" s="231">
        <f t="shared" si="3"/>
        <v>1.5467311807463111E-2</v>
      </c>
      <c r="U17" s="232">
        <f t="shared" si="4"/>
        <v>0.9772532251306405</v>
      </c>
      <c r="V17" s="232">
        <f t="shared" si="5"/>
        <v>1.3246000784472059E-2</v>
      </c>
      <c r="W17" s="232">
        <f t="shared" si="6"/>
        <v>9.5007740848873836E-3</v>
      </c>
      <c r="X17" s="232">
        <f t="shared" si="7"/>
        <v>0</v>
      </c>
      <c r="Y17" s="20">
        <f t="shared" si="8"/>
        <v>0.13280501735081388</v>
      </c>
      <c r="Z17" s="20">
        <f t="shared" si="9"/>
        <v>2.2561175525951192E-2</v>
      </c>
      <c r="AA17" s="20">
        <f t="shared" si="10"/>
        <v>2.3623304546538525E-3</v>
      </c>
      <c r="AB17" s="20">
        <f t="shared" si="11"/>
        <v>2.4760784513476151E-3</v>
      </c>
      <c r="AC17" s="159">
        <f t="shared" si="12"/>
        <v>0.82897130215331871</v>
      </c>
      <c r="AD17" s="159">
        <f t="shared" si="13"/>
        <v>0.1408272626059992</v>
      </c>
      <c r="AE17" s="159">
        <f t="shared" si="14"/>
        <v>1.4745709101771707E-2</v>
      </c>
      <c r="AF17" s="159">
        <f t="shared" si="15"/>
        <v>1.5455726138910266E-2</v>
      </c>
      <c r="AG17" s="116">
        <f t="shared" si="16"/>
        <v>0.13280501735081388</v>
      </c>
      <c r="AH17" s="116">
        <f t="shared" si="17"/>
        <v>2.2561175525951192E-2</v>
      </c>
      <c r="AI17" s="116">
        <f t="shared" si="30"/>
        <v>0</v>
      </c>
      <c r="AJ17" s="116">
        <f t="shared" si="18"/>
        <v>2.4760784513476151E-3</v>
      </c>
      <c r="AK17" s="232">
        <f t="shared" si="19"/>
        <v>0.84137801764615439</v>
      </c>
      <c r="AL17" s="232">
        <f t="shared" si="20"/>
        <v>0.14293493964650589</v>
      </c>
      <c r="AM17" s="232">
        <f t="shared" si="31"/>
        <v>0</v>
      </c>
      <c r="AN17" s="232">
        <f t="shared" si="21"/>
        <v>1.5687042707339768E-2</v>
      </c>
      <c r="AO17">
        <f t="shared" si="22"/>
        <v>0</v>
      </c>
      <c r="AP17" t="s">
        <v>416</v>
      </c>
    </row>
    <row r="18" spans="1:56">
      <c r="A18" s="19" t="s">
        <v>78</v>
      </c>
      <c r="B18" s="232">
        <v>0.73399999999999999</v>
      </c>
      <c r="C18" s="232">
        <v>7.0000000000000001E-3</v>
      </c>
      <c r="D18" s="232">
        <v>1E-3</v>
      </c>
      <c r="E18" s="232">
        <v>0.193</v>
      </c>
      <c r="F18">
        <v>1.06</v>
      </c>
      <c r="G18" s="116">
        <f>B18*F18*(IF(AND('Résultat - projection'!$B$209=2, 'Résultat - projection'!$B$210&lt;&gt;1),B61/(B61+0.5*D61),1))/F61</f>
        <v>0.59921059561316392</v>
      </c>
      <c r="H18" s="116">
        <f>C249/'Clés de répartition'!$G$243</f>
        <v>4.9244284398495732E-3</v>
      </c>
      <c r="I18" s="116">
        <f>M205+IF(AND('Résultat - projection'!$B$209=2, 'Résultat - projection'!$B$210&lt;&gt;1),B18*F18*0.5*D61/(B61+0.5*D61),0)</f>
        <v>9.4710000000000003E-3</v>
      </c>
      <c r="J18" s="116">
        <f t="shared" si="23"/>
        <v>0.20458000000000001</v>
      </c>
      <c r="K18" s="328">
        <f t="shared" si="24"/>
        <v>0.7028140092996179</v>
      </c>
      <c r="L18" s="328">
        <f t="shared" si="25"/>
        <v>8.573980917312124E-2</v>
      </c>
      <c r="M18" s="20">
        <f t="shared" si="26"/>
        <v>1.3938864076981881E-2</v>
      </c>
      <c r="N18" s="329">
        <f t="shared" si="27"/>
        <v>1.569334150329282E-2</v>
      </c>
      <c r="O18" s="116">
        <f t="shared" si="28"/>
        <v>8.8235380733271668E-2</v>
      </c>
      <c r="P18" s="329">
        <f t="shared" si="29"/>
        <v>4.89086407698188E-3</v>
      </c>
      <c r="Q18" s="231">
        <f t="shared" si="0"/>
        <v>0.85899048460656602</v>
      </c>
      <c r="R18" s="231">
        <f t="shared" si="1"/>
        <v>0.10479256141335137</v>
      </c>
      <c r="S18" s="231">
        <f t="shared" si="2"/>
        <v>1.7036301852155229E-2</v>
      </c>
      <c r="T18" s="231">
        <f t="shared" si="3"/>
        <v>1.9180652127927304E-2</v>
      </c>
      <c r="U18" s="232">
        <f t="shared" si="4"/>
        <v>0.97653962334860356</v>
      </c>
      <c r="V18" s="232">
        <f t="shared" si="5"/>
        <v>8.0253912882447837E-3</v>
      </c>
      <c r="W18" s="232">
        <f t="shared" si="6"/>
        <v>1.5434985363151745E-2</v>
      </c>
      <c r="X18" s="232">
        <f t="shared" si="7"/>
        <v>0</v>
      </c>
      <c r="Y18" s="20">
        <f t="shared" si="8"/>
        <v>0.7028140092996179</v>
      </c>
      <c r="Z18" s="20">
        <f t="shared" si="9"/>
        <v>8.573980917312124E-2</v>
      </c>
      <c r="AA18" s="20">
        <f t="shared" si="10"/>
        <v>1.4361864076981881E-2</v>
      </c>
      <c r="AB18" s="20">
        <f t="shared" si="11"/>
        <v>1.569334150329282E-2</v>
      </c>
      <c r="AC18" s="159">
        <f t="shared" si="12"/>
        <v>0.85854661828661072</v>
      </c>
      <c r="AD18" s="159">
        <f t="shared" si="13"/>
        <v>0.10473841193273804</v>
      </c>
      <c r="AE18" s="159">
        <f t="shared" si="14"/>
        <v>1.7544228874823389E-2</v>
      </c>
      <c r="AF18" s="159">
        <f t="shared" si="15"/>
        <v>1.9170740905827717E-2</v>
      </c>
      <c r="AG18" s="116">
        <f t="shared" si="16"/>
        <v>0.7028140092996179</v>
      </c>
      <c r="AH18" s="116">
        <f t="shared" si="17"/>
        <v>8.573980917312124E-2</v>
      </c>
      <c r="AI18" s="116">
        <f t="shared" si="30"/>
        <v>0</v>
      </c>
      <c r="AJ18" s="116">
        <f t="shared" si="18"/>
        <v>1.569334150329282E-2</v>
      </c>
      <c r="AK18" s="232">
        <f t="shared" si="19"/>
        <v>0.87387813631889355</v>
      </c>
      <c r="AL18" s="232">
        <f t="shared" si="20"/>
        <v>0.10660878078285839</v>
      </c>
      <c r="AM18" s="232">
        <f t="shared" si="31"/>
        <v>0</v>
      </c>
      <c r="AN18" s="232">
        <f t="shared" si="21"/>
        <v>1.9513082898247984E-2</v>
      </c>
      <c r="AO18">
        <f t="shared" si="22"/>
        <v>1.0600000000000002E-5</v>
      </c>
      <c r="AP18" t="s">
        <v>416</v>
      </c>
    </row>
    <row r="19" spans="1:56">
      <c r="A19" s="19" t="s">
        <v>82</v>
      </c>
      <c r="B19" s="232">
        <v>0.83099999999999996</v>
      </c>
      <c r="C19" s="232">
        <v>6.0000000000000001E-3</v>
      </c>
      <c r="D19" s="232">
        <v>1E-3</v>
      </c>
      <c r="E19" s="232">
        <v>0.109</v>
      </c>
      <c r="F19">
        <v>1.91</v>
      </c>
      <c r="G19" s="116">
        <f>B19*F19*(IF(AND('Résultat - projection'!$B$209=2, 'Résultat - projection'!$B$210&lt;&gt;1),B62/(B62+0.5*D62),1))/F62</f>
        <v>1.2756760252531407</v>
      </c>
      <c r="H19" s="116">
        <f>C250/'Clés de répartition'!$G$243</f>
        <v>1.8654567863125613E-2</v>
      </c>
      <c r="I19" s="116">
        <f>M206+IF(AND('Résultat - projection'!$B$209=2, 'Résultat - projection'!$B$210&lt;&gt;1),B19*F19*0.5*D62/(B62+0.5*D62),0)</f>
        <v>1.9560000000000003E-3</v>
      </c>
      <c r="J19" s="116">
        <f t="shared" si="23"/>
        <v>0.20818999999999999</v>
      </c>
      <c r="K19" s="328">
        <f t="shared" si="24"/>
        <v>1.4243198010455125</v>
      </c>
      <c r="L19" s="328">
        <f t="shared" si="25"/>
        <v>6.0975443241794672E-2</v>
      </c>
      <c r="M19" s="20">
        <f t="shared" si="26"/>
        <v>5.0419741003753411E-3</v>
      </c>
      <c r="N19" s="329">
        <f t="shared" si="27"/>
        <v>1.4139374728583464E-2</v>
      </c>
      <c r="O19" s="116">
        <f t="shared" si="28"/>
        <v>5.3780875378669053E-2</v>
      </c>
      <c r="P19" s="329">
        <f t="shared" si="29"/>
        <v>2.2954974100375343E-2</v>
      </c>
      <c r="Q19" s="231">
        <f t="shared" si="0"/>
        <v>0.94672114379345562</v>
      </c>
      <c r="R19" s="231">
        <f t="shared" si="1"/>
        <v>4.0529339918472559E-2</v>
      </c>
      <c r="S19" s="231">
        <f t="shared" si="2"/>
        <v>3.3513144195429154E-3</v>
      </c>
      <c r="T19" s="231">
        <f t="shared" si="3"/>
        <v>9.3982018685290197E-3</v>
      </c>
      <c r="U19" s="232">
        <f t="shared" si="4"/>
        <v>0.98410030006282956</v>
      </c>
      <c r="V19" s="232">
        <f t="shared" si="5"/>
        <v>1.4390774356679974E-2</v>
      </c>
      <c r="W19" s="232">
        <f t="shared" si="6"/>
        <v>1.5089255804904887E-3</v>
      </c>
      <c r="X19" s="232">
        <f t="shared" si="7"/>
        <v>0</v>
      </c>
      <c r="Y19" s="20">
        <f t="shared" si="8"/>
        <v>1.4243198010455125</v>
      </c>
      <c r="Z19" s="20">
        <f t="shared" si="9"/>
        <v>6.0975443241794672E-2</v>
      </c>
      <c r="AA19" s="20">
        <f t="shared" si="10"/>
        <v>2.4910974100375342E-2</v>
      </c>
      <c r="AB19" s="20">
        <f t="shared" si="11"/>
        <v>1.4139374728583464E-2</v>
      </c>
      <c r="AC19" s="159">
        <f t="shared" si="12"/>
        <v>0.9343811583656253</v>
      </c>
      <c r="AD19" s="159">
        <f t="shared" si="13"/>
        <v>4.0001062434366165E-2</v>
      </c>
      <c r="AE19" s="159">
        <f t="shared" si="14"/>
        <v>1.6342077684266522E-2</v>
      </c>
      <c r="AF19" s="159">
        <f t="shared" si="15"/>
        <v>9.2757015157421841E-3</v>
      </c>
      <c r="AG19" s="116">
        <f t="shared" si="16"/>
        <v>1.4243198010455125</v>
      </c>
      <c r="AH19" s="116">
        <f t="shared" si="17"/>
        <v>6.0975443241794672E-2</v>
      </c>
      <c r="AI19" s="116">
        <f t="shared" si="30"/>
        <v>0</v>
      </c>
      <c r="AJ19" s="116">
        <f t="shared" si="18"/>
        <v>1.4139374728583464E-2</v>
      </c>
      <c r="AK19" s="232">
        <f t="shared" si="19"/>
        <v>0.94990457268508488</v>
      </c>
      <c r="AL19" s="232">
        <f t="shared" si="20"/>
        <v>4.0665623207908924E-2</v>
      </c>
      <c r="AM19" s="232">
        <f t="shared" si="31"/>
        <v>0</v>
      </c>
      <c r="AN19" s="232">
        <f t="shared" si="21"/>
        <v>9.4298041070062961E-3</v>
      </c>
      <c r="AO19">
        <f t="shared" si="22"/>
        <v>1.91E-5</v>
      </c>
      <c r="AP19" t="s">
        <v>416</v>
      </c>
      <c r="BC19" s="401"/>
      <c r="BD19" s="401"/>
    </row>
    <row r="20" spans="1:56">
      <c r="A20" s="19" t="s">
        <v>83</v>
      </c>
      <c r="B20" s="232">
        <v>0.83799999999999997</v>
      </c>
      <c r="C20" s="232">
        <v>0</v>
      </c>
      <c r="D20" s="232">
        <v>1.9E-2</v>
      </c>
      <c r="E20" s="232">
        <v>7.9000000000000001E-2</v>
      </c>
      <c r="F20">
        <v>0.35</v>
      </c>
      <c r="G20" s="116">
        <f>B20*F20*(IF(AND('Résultat - projection'!$B$209=2, 'Résultat - projection'!$B$210&lt;&gt;1),B63/(B63+0.5*D63),1))/F63</f>
        <v>0.23254443373276931</v>
      </c>
      <c r="H20" s="116">
        <f>C251/'Clés de répartition'!$G$243</f>
        <v>2.6884230518537619E-3</v>
      </c>
      <c r="I20" s="116">
        <f>M207+IF(AND('Résultat - projection'!$B$209=2, 'Résultat - projection'!$B$210&lt;&gt;1),B20*F20*0.5*D63/(B63+0.5*D63),0)</f>
        <v>4.5630000000000002E-3</v>
      </c>
      <c r="J20" s="116">
        <f t="shared" si="23"/>
        <v>2.7649999999999997E-2</v>
      </c>
      <c r="K20" s="328">
        <f t="shared" si="24"/>
        <v>0.25160575981972583</v>
      </c>
      <c r="L20" s="328">
        <f t="shared" si="25"/>
        <v>9.4809632692450709E-3</v>
      </c>
      <c r="M20" s="20">
        <f t="shared" si="26"/>
        <v>4.682444565217392E-3</v>
      </c>
      <c r="N20" s="329">
        <f t="shared" si="27"/>
        <v>1.6766891304347818E-3</v>
      </c>
      <c r="O20" s="116">
        <f t="shared" si="28"/>
        <v>6.7925402173913095E-3</v>
      </c>
      <c r="P20" s="329">
        <f t="shared" si="29"/>
        <v>1.0739444565217393E-2</v>
      </c>
      <c r="Q20" s="231">
        <f t="shared" si="0"/>
        <v>0.94077269636802252</v>
      </c>
      <c r="R20" s="231">
        <f t="shared" si="1"/>
        <v>3.5450028589824781E-2</v>
      </c>
      <c r="S20" s="231">
        <f t="shared" si="2"/>
        <v>1.7508009365006589E-2</v>
      </c>
      <c r="T20" s="231">
        <f t="shared" si="3"/>
        <v>6.2692656771461486E-3</v>
      </c>
      <c r="U20" s="232">
        <f t="shared" si="4"/>
        <v>0.96976001525177824</v>
      </c>
      <c r="V20" s="232">
        <f t="shared" si="5"/>
        <v>1.1211299010342854E-2</v>
      </c>
      <c r="W20" s="232">
        <f t="shared" si="6"/>
        <v>1.9028685737878866E-2</v>
      </c>
      <c r="X20" s="232">
        <f t="shared" si="7"/>
        <v>0</v>
      </c>
      <c r="Y20" s="20">
        <f t="shared" si="8"/>
        <v>0.25160575981972583</v>
      </c>
      <c r="Z20" s="20">
        <f t="shared" si="9"/>
        <v>9.4809632692450709E-3</v>
      </c>
      <c r="AA20" s="20">
        <f t="shared" si="10"/>
        <v>1.5302444565217392E-2</v>
      </c>
      <c r="AB20" s="20">
        <f t="shared" si="11"/>
        <v>1.6766891304347818E-3</v>
      </c>
      <c r="AC20" s="159">
        <f t="shared" si="12"/>
        <v>0.90484233745607956</v>
      </c>
      <c r="AD20" s="159">
        <f t="shared" si="13"/>
        <v>3.4096107227535616E-2</v>
      </c>
      <c r="AE20" s="159">
        <f t="shared" si="14"/>
        <v>5.5031727886929879E-2</v>
      </c>
      <c r="AF20" s="159">
        <f t="shared" si="15"/>
        <v>6.0298274294548412E-3</v>
      </c>
      <c r="AG20" s="116">
        <f t="shared" si="16"/>
        <v>0.25160575981972583</v>
      </c>
      <c r="AH20" s="116">
        <f t="shared" si="17"/>
        <v>9.4809632692450709E-3</v>
      </c>
      <c r="AI20" s="116">
        <f t="shared" si="30"/>
        <v>0</v>
      </c>
      <c r="AJ20" s="116">
        <f t="shared" si="18"/>
        <v>1.6766891304347818E-3</v>
      </c>
      <c r="AK20" s="232">
        <f t="shared" si="19"/>
        <v>0.95753726782036419</v>
      </c>
      <c r="AL20" s="232">
        <f t="shared" si="20"/>
        <v>3.6081748174774539E-2</v>
      </c>
      <c r="AM20" s="232">
        <f t="shared" si="31"/>
        <v>0</v>
      </c>
      <c r="AN20" s="232">
        <f t="shared" si="21"/>
        <v>6.3809840048612157E-3</v>
      </c>
      <c r="AO20">
        <f t="shared" si="22"/>
        <v>6.649999999999999E-5</v>
      </c>
      <c r="AP20" t="s">
        <v>416</v>
      </c>
      <c r="BD20" s="16"/>
    </row>
    <row r="21" spans="1:56">
      <c r="A21" s="19" t="s">
        <v>84</v>
      </c>
      <c r="B21" s="232">
        <v>0.97199999999999998</v>
      </c>
      <c r="C21" s="232">
        <v>0</v>
      </c>
      <c r="D21" s="232">
        <v>0.01</v>
      </c>
      <c r="E21" s="232">
        <v>5.0000000000000001E-3</v>
      </c>
      <c r="F21">
        <v>7.0000000000000007E-2</v>
      </c>
      <c r="G21" s="116">
        <f>B21*F21*(IF(AND('Résultat - projection'!$B$209=2, 'Résultat - projection'!$B$210&lt;&gt;1),B64/(B64+0.5*D64),1))/F64</f>
        <v>6.1922564664620747E-2</v>
      </c>
      <c r="H21" s="116">
        <f>C252/'Clés de répartition'!$G$243</f>
        <v>4.6668980094774241E-5</v>
      </c>
      <c r="I21" s="116">
        <f>M208+IF(AND('Résultat - projection'!$B$209=2, 'Résultat - projection'!$B$210&lt;&gt;1),B21*F21*0.5*D64/(B64+0.5*D64),0)</f>
        <v>2.7750000000000002E-4</v>
      </c>
      <c r="J21" s="116">
        <f t="shared" si="23"/>
        <v>3.5000000000000005E-4</v>
      </c>
      <c r="K21" s="328">
        <f t="shared" si="24"/>
        <v>6.2183961663256487E-2</v>
      </c>
      <c r="L21" s="328">
        <f t="shared" si="25"/>
        <v>1.1309258173188201E-4</v>
      </c>
      <c r="M21" s="20">
        <f t="shared" si="26"/>
        <v>2.9967939972714875E-4</v>
      </c>
      <c r="N21" s="329">
        <f t="shared" si="27"/>
        <v>0</v>
      </c>
      <c r="O21" s="116">
        <f t="shared" si="28"/>
        <v>6.6423601637107766E-5</v>
      </c>
      <c r="P21" s="329">
        <f t="shared" si="29"/>
        <v>2.2179399727148722E-5</v>
      </c>
      <c r="Q21" s="231">
        <f t="shared" si="0"/>
        <v>0.99340585430859973</v>
      </c>
      <c r="R21" s="231">
        <f t="shared" si="1"/>
        <v>1.8066850320620428E-3</v>
      </c>
      <c r="S21" s="231">
        <f t="shared" si="2"/>
        <v>4.7874606593382206E-3</v>
      </c>
      <c r="T21" s="231">
        <f t="shared" si="3"/>
        <v>0</v>
      </c>
      <c r="U21" s="232">
        <f t="shared" si="4"/>
        <v>0.99479219292139842</v>
      </c>
      <c r="V21" s="232">
        <f t="shared" si="5"/>
        <v>7.4974183161394259E-4</v>
      </c>
      <c r="W21" s="232">
        <f t="shared" si="6"/>
        <v>4.4580652469875994E-3</v>
      </c>
      <c r="X21" s="232">
        <f t="shared" si="7"/>
        <v>0</v>
      </c>
      <c r="Y21" s="20">
        <f t="shared" si="8"/>
        <v>6.2183961663256487E-2</v>
      </c>
      <c r="Z21" s="20">
        <f t="shared" si="9"/>
        <v>1.1309258173188201E-4</v>
      </c>
      <c r="AA21" s="20">
        <f t="shared" si="10"/>
        <v>2.9967939972714875E-4</v>
      </c>
      <c r="AB21" s="20">
        <f t="shared" si="11"/>
        <v>0</v>
      </c>
      <c r="AC21" s="159">
        <f t="shared" si="12"/>
        <v>0.99340585430859973</v>
      </c>
      <c r="AD21" s="159">
        <f t="shared" si="13"/>
        <v>1.8066850320620428E-3</v>
      </c>
      <c r="AE21" s="159">
        <f t="shared" si="14"/>
        <v>4.7874606593382206E-3</v>
      </c>
      <c r="AF21" s="159">
        <f t="shared" si="15"/>
        <v>0</v>
      </c>
      <c r="AG21" s="116">
        <f t="shared" si="16"/>
        <v>6.2183961663256487E-2</v>
      </c>
      <c r="AH21" s="116">
        <f t="shared" si="17"/>
        <v>1.1309258173188201E-4</v>
      </c>
      <c r="AI21" s="116">
        <f t="shared" si="30"/>
        <v>0</v>
      </c>
      <c r="AJ21" s="116">
        <f t="shared" si="18"/>
        <v>0</v>
      </c>
      <c r="AK21" s="232">
        <f t="shared" si="19"/>
        <v>0.99818462392640372</v>
      </c>
      <c r="AL21" s="232">
        <f t="shared" si="20"/>
        <v>1.8153760735962888E-3</v>
      </c>
      <c r="AM21" s="232">
        <f t="shared" si="31"/>
        <v>0</v>
      </c>
      <c r="AN21" s="232">
        <f t="shared" si="21"/>
        <v>0</v>
      </c>
      <c r="AO21">
        <f t="shared" si="22"/>
        <v>7.0000000000000007E-6</v>
      </c>
      <c r="AP21" t="s">
        <v>416</v>
      </c>
    </row>
    <row r="22" spans="1:56">
      <c r="A22" s="19" t="s">
        <v>85</v>
      </c>
      <c r="B22" s="232">
        <v>0.72399999999999998</v>
      </c>
      <c r="C22" s="232">
        <v>0</v>
      </c>
      <c r="D22" s="232">
        <v>8.0000000000000002E-3</v>
      </c>
      <c r="E22" s="232">
        <v>0.222</v>
      </c>
      <c r="F22">
        <v>0.61</v>
      </c>
      <c r="G22" s="116">
        <f>B22*F22*(IF(AND('Résultat - projection'!$B$209=2, 'Résultat - projection'!$B$210&lt;&gt;1),B65/(B65+0.5*D65),1))/F65</f>
        <v>0.29932990380024072</v>
      </c>
      <c r="H22" s="116">
        <f>C253/'Clés de répartition'!$G$243</f>
        <v>4.8279251112596563E-3</v>
      </c>
      <c r="I22" s="116">
        <f>M209+IF(AND('Résultat - projection'!$B$209=2, 'Résultat - projection'!$B$210&lt;&gt;1),B22*F22*0.5*D65/(B65+0.5*D65),0)</f>
        <v>4.7594999999999998E-3</v>
      </c>
      <c r="J22" s="116">
        <f t="shared" si="23"/>
        <v>0.13542000000000001</v>
      </c>
      <c r="K22" s="328">
        <f t="shared" si="24"/>
        <v>0.36161304374217496</v>
      </c>
      <c r="L22" s="328">
        <f t="shared" si="25"/>
        <v>5.2088190404025972E-2</v>
      </c>
      <c r="M22" s="20">
        <f t="shared" si="26"/>
        <v>9.5995894265020407E-3</v>
      </c>
      <c r="N22" s="329">
        <f t="shared" si="27"/>
        <v>2.1036505338797282E-2</v>
      </c>
      <c r="O22" s="116">
        <f t="shared" si="28"/>
        <v>4.7260265292766314E-2</v>
      </c>
      <c r="P22" s="329">
        <f t="shared" si="29"/>
        <v>7.8055894265020402E-3</v>
      </c>
      <c r="Q22" s="231">
        <f t="shared" si="0"/>
        <v>0.81382548845946345</v>
      </c>
      <c r="R22" s="231">
        <f t="shared" si="1"/>
        <v>0.11722668120553181</v>
      </c>
      <c r="S22" s="231">
        <f t="shared" si="2"/>
        <v>2.1604283056789977E-2</v>
      </c>
      <c r="T22" s="231">
        <f t="shared" si="3"/>
        <v>4.7343547278214777E-2</v>
      </c>
      <c r="U22" s="232">
        <f t="shared" si="4"/>
        <v>0.96896443088821904</v>
      </c>
      <c r="V22" s="232">
        <f t="shared" si="5"/>
        <v>1.5628534431109158E-2</v>
      </c>
      <c r="W22" s="232">
        <f t="shared" si="6"/>
        <v>1.5407034680671852E-2</v>
      </c>
      <c r="X22" s="232">
        <f t="shared" si="7"/>
        <v>0</v>
      </c>
      <c r="Y22" s="20">
        <f t="shared" si="8"/>
        <v>0.36161304374217496</v>
      </c>
      <c r="Z22" s="20">
        <f t="shared" si="9"/>
        <v>5.2088190404025972E-2</v>
      </c>
      <c r="AA22" s="20">
        <f t="shared" si="10"/>
        <v>1.256508942650204E-2</v>
      </c>
      <c r="AB22" s="20">
        <f t="shared" si="11"/>
        <v>2.1036505338797282E-2</v>
      </c>
      <c r="AC22" s="159">
        <f t="shared" si="12"/>
        <v>0.80843003971638372</v>
      </c>
      <c r="AD22" s="159">
        <f t="shared" si="13"/>
        <v>0.11644949916990514</v>
      </c>
      <c r="AE22" s="159">
        <f t="shared" si="14"/>
        <v>2.8090789090421935E-2</v>
      </c>
      <c r="AF22" s="159">
        <f t="shared" si="15"/>
        <v>4.7029672023289164E-2</v>
      </c>
      <c r="AG22" s="116">
        <f t="shared" si="16"/>
        <v>0.36161304374217496</v>
      </c>
      <c r="AH22" s="116">
        <f t="shared" si="17"/>
        <v>5.2088190404025972E-2</v>
      </c>
      <c r="AI22" s="116">
        <f t="shared" si="30"/>
        <v>2.9999987060226347E-3</v>
      </c>
      <c r="AJ22" s="116">
        <f t="shared" si="18"/>
        <v>2.1036505338797282E-2</v>
      </c>
      <c r="AK22" s="232">
        <f t="shared" si="19"/>
        <v>0.82609519854642632</v>
      </c>
      <c r="AL22" s="232">
        <f t="shared" si="20"/>
        <v>0.11899405936368142</v>
      </c>
      <c r="AM22" s="232">
        <f t="shared" si="31"/>
        <v>6.8534157425410042E-3</v>
      </c>
      <c r="AN22" s="232">
        <f t="shared" si="21"/>
        <v>4.8057326347351235E-2</v>
      </c>
      <c r="AO22">
        <f t="shared" si="22"/>
        <v>4.88E-5</v>
      </c>
      <c r="AP22" t="s">
        <v>418</v>
      </c>
    </row>
    <row r="23" spans="1:56">
      <c r="A23" s="299" t="s">
        <v>585</v>
      </c>
      <c r="B23" s="315"/>
      <c r="C23" s="315"/>
      <c r="D23" s="315"/>
      <c r="E23" s="315"/>
      <c r="F23" s="316"/>
      <c r="G23" s="316"/>
      <c r="H23" s="316"/>
      <c r="I23" s="316"/>
      <c r="J23" s="334"/>
      <c r="K23" s="317"/>
      <c r="L23" s="317"/>
      <c r="M23" s="317"/>
      <c r="N23" s="317"/>
      <c r="O23" s="317"/>
      <c r="P23" s="317"/>
      <c r="Q23" s="317"/>
      <c r="R23" s="317"/>
      <c r="S23" s="317"/>
      <c r="T23" s="317"/>
      <c r="U23" s="317"/>
      <c r="V23" s="317"/>
      <c r="W23" s="317"/>
      <c r="X23" s="317"/>
      <c r="Y23" s="317"/>
      <c r="Z23" s="317"/>
      <c r="AA23" s="317"/>
      <c r="AB23" s="317"/>
      <c r="AC23" s="317"/>
      <c r="AD23" s="317"/>
      <c r="AE23" s="317"/>
      <c r="AF23" s="317"/>
      <c r="AG23" s="317"/>
      <c r="AH23" s="317"/>
      <c r="AI23" s="317"/>
      <c r="AJ23" s="317"/>
      <c r="AK23" s="317"/>
      <c r="AL23" s="317"/>
      <c r="AM23" s="317"/>
      <c r="AN23" s="317"/>
      <c r="AO23" s="317"/>
      <c r="AP23" s="317"/>
    </row>
    <row r="24" spans="1:56">
      <c r="A24" s="597" t="s">
        <v>154</v>
      </c>
      <c r="B24" s="232">
        <v>0.73199999999999998</v>
      </c>
      <c r="C24" s="232">
        <v>1.3999999999999999E-2</v>
      </c>
      <c r="D24" s="232">
        <v>1.2E-2</v>
      </c>
      <c r="E24" s="232">
        <v>0.19</v>
      </c>
      <c r="F24" s="20">
        <v>4.13</v>
      </c>
      <c r="G24" s="116">
        <f>B24*F24*(IF(AND('Résultat - projection'!$B$209=2, 'Résultat - projection'!$B$210&lt;&gt;1),B67/(B67+0.5*D67),1))/F67</f>
        <v>2.4138286655842638</v>
      </c>
      <c r="H24" s="116">
        <f>C255/'Clés de répartition'!$G$243</f>
        <v>2.5018716019626464E-2</v>
      </c>
      <c r="I24" s="116">
        <f>M211+IF(AND('Résultat - projection'!$B$209=2, 'Résultat - projection'!$B$210&lt;&gt;1),B24*F24*0.5*D67/(B67+0.5*D67),0)</f>
        <v>3.7775999999999997E-2</v>
      </c>
      <c r="J24" s="116">
        <f t="shared" si="23"/>
        <v>0.78469999999999995</v>
      </c>
      <c r="K24" s="328">
        <f t="shared" ref="K24:K42" si="32">G24+E24*$F24*B67</f>
        <v>2.77827899604587</v>
      </c>
      <c r="L24" s="328">
        <f t="shared" ref="L24:L42" si="33">H24+E24*F24*C67</f>
        <v>0.33792255818674488</v>
      </c>
      <c r="M24" s="20">
        <f t="shared" ref="M24:M42" si="34">I24+E24*$F24*D67</f>
        <v>6.5220253997053099E-2</v>
      </c>
      <c r="N24" s="329">
        <f t="shared" ref="N24:N42" si="35">J24*E67</f>
        <v>7.9901573374221449E-2</v>
      </c>
      <c r="O24" s="116">
        <f t="shared" si="28"/>
        <v>0.3707238421671184</v>
      </c>
      <c r="P24" s="329">
        <f>L211+F24*E24*D67</f>
        <v>7.18547539970531E-2</v>
      </c>
      <c r="Q24" s="231">
        <f t="shared" si="0"/>
        <v>0.85188700136799611</v>
      </c>
      <c r="R24" s="231">
        <f t="shared" si="1"/>
        <v>0.1036151643510303</v>
      </c>
      <c r="S24" s="231">
        <f t="shared" si="2"/>
        <v>1.9998094750413364E-2</v>
      </c>
      <c r="T24" s="231">
        <f t="shared" si="3"/>
        <v>2.4499739530560314E-2</v>
      </c>
      <c r="U24" s="134">
        <f t="shared" si="4"/>
        <v>0.97464502819198939</v>
      </c>
      <c r="V24" s="134">
        <f t="shared" si="5"/>
        <v>1.0101946143875962E-2</v>
      </c>
      <c r="W24" s="134">
        <f t="shared" si="6"/>
        <v>1.5253025664134615E-2</v>
      </c>
      <c r="X24" s="134">
        <f t="shared" si="7"/>
        <v>0</v>
      </c>
      <c r="Y24" s="20">
        <f t="shared" si="8"/>
        <v>2.77827899604587</v>
      </c>
      <c r="Z24" s="20">
        <f t="shared" si="9"/>
        <v>0.33792255818674488</v>
      </c>
      <c r="AA24" s="20">
        <f t="shared" ref="AA24:AA42" si="36">M24+L211</f>
        <v>0.1096307539970531</v>
      </c>
      <c r="AB24" s="20">
        <f t="shared" si="11"/>
        <v>7.9901573374221449E-2</v>
      </c>
      <c r="AC24" s="16">
        <f t="shared" si="12"/>
        <v>0.84044242384625756</v>
      </c>
      <c r="AD24" s="16">
        <f t="shared" si="13"/>
        <v>0.10222315839373927</v>
      </c>
      <c r="AE24" s="16">
        <f t="shared" si="14"/>
        <v>3.3163817150297051E-2</v>
      </c>
      <c r="AF24" s="16">
        <f t="shared" si="15"/>
        <v>2.4170600609706213E-2</v>
      </c>
      <c r="AG24" s="253"/>
      <c r="AH24" s="253"/>
      <c r="AI24" s="254"/>
      <c r="AJ24" s="254"/>
      <c r="AK24" s="255"/>
      <c r="AL24" s="255"/>
      <c r="AM24" s="255"/>
      <c r="AN24" s="255"/>
      <c r="AO24">
        <v>5.8099999999999999E-2</v>
      </c>
    </row>
    <row r="25" spans="1:56">
      <c r="A25" s="597" t="s">
        <v>155</v>
      </c>
      <c r="B25" s="232">
        <v>0.76800000000000002</v>
      </c>
      <c r="C25" s="232">
        <v>5.0000000000000001E-3</v>
      </c>
      <c r="D25" s="232">
        <v>1.1000000000000001E-2</v>
      </c>
      <c r="E25" s="232">
        <v>0.16200000000000001</v>
      </c>
      <c r="F25" s="20">
        <v>1.76</v>
      </c>
      <c r="G25" s="116">
        <f>B25*F25*(IF(AND('Résultat - projection'!$B$209=2, 'Résultat - projection'!$B$210&lt;&gt;1),B68/(B68+0.5*D68),1))/F68</f>
        <v>1.0976060832777792</v>
      </c>
      <c r="H25" s="116">
        <f>C256/'Clés de répartition'!$G$243</f>
        <v>1.281680870280455E-2</v>
      </c>
      <c r="I25" s="116">
        <f>M212+IF(AND('Résultat - projection'!$B$209=2, 'Résultat - projection'!$B$210&lt;&gt;1),B25*F25*0.5*D68/(B68+0.5*D68),0)</f>
        <v>2.4315000000000003E-2</v>
      </c>
      <c r="J25" s="116">
        <f t="shared" si="23"/>
        <v>0.28511999999999998</v>
      </c>
      <c r="K25" s="328">
        <f t="shared" si="32"/>
        <v>1.2535851858046818</v>
      </c>
      <c r="L25" s="328">
        <f t="shared" si="33"/>
        <v>0.1058754303234033</v>
      </c>
      <c r="M25" s="20">
        <f t="shared" si="34"/>
        <v>2.8622192652680185E-2</v>
      </c>
      <c r="N25" s="329">
        <f t="shared" si="35"/>
        <v>3.1775083199818387E-2</v>
      </c>
      <c r="O25" s="116">
        <f t="shared" si="28"/>
        <v>0.10185862162059875</v>
      </c>
      <c r="P25" s="329">
        <f t="shared" si="29"/>
        <v>1.0356692652680181E-2</v>
      </c>
      <c r="Q25" s="231">
        <f t="shared" si="0"/>
        <v>0.88289482552090803</v>
      </c>
      <c r="R25" s="231">
        <f t="shared" si="1"/>
        <v>7.4567624634403279E-2</v>
      </c>
      <c r="S25" s="231">
        <f t="shared" si="2"/>
        <v>2.0158491081635362E-2</v>
      </c>
      <c r="T25" s="231">
        <f t="shared" si="3"/>
        <v>2.2379058763053242E-2</v>
      </c>
      <c r="U25" s="134">
        <f t="shared" si="4"/>
        <v>0.96727719329263384</v>
      </c>
      <c r="V25" s="134">
        <f t="shared" si="5"/>
        <v>1.12949508370025E-2</v>
      </c>
      <c r="W25" s="134">
        <f t="shared" si="6"/>
        <v>2.1427855870363451E-2</v>
      </c>
      <c r="X25" s="134">
        <f t="shared" si="7"/>
        <v>0</v>
      </c>
      <c r="Y25" s="20">
        <f t="shared" si="8"/>
        <v>1.2535851858046818</v>
      </c>
      <c r="Z25" s="20">
        <f t="shared" si="9"/>
        <v>0.1058754303234033</v>
      </c>
      <c r="AA25" s="20">
        <f t="shared" si="36"/>
        <v>3.4671692652680185E-2</v>
      </c>
      <c r="AB25" s="20">
        <f t="shared" si="11"/>
        <v>3.1775083199818387E-2</v>
      </c>
      <c r="AC25" s="16">
        <f t="shared" si="12"/>
        <v>0.87914908980410944</v>
      </c>
      <c r="AD25" s="16">
        <f t="shared" si="13"/>
        <v>7.4251266890721729E-2</v>
      </c>
      <c r="AE25" s="16">
        <f t="shared" si="14"/>
        <v>2.4315529078309386E-2</v>
      </c>
      <c r="AF25" s="16">
        <f t="shared" si="15"/>
        <v>2.2284114226859313E-2</v>
      </c>
      <c r="AG25" s="253"/>
      <c r="AH25" s="253"/>
      <c r="AI25" s="254"/>
      <c r="AJ25" s="254"/>
      <c r="AK25" s="255"/>
      <c r="AL25" s="255"/>
      <c r="AM25" s="255"/>
      <c r="AN25" s="255"/>
      <c r="AO25">
        <v>9.0000000000000011E-3</v>
      </c>
    </row>
    <row r="26" spans="1:56">
      <c r="A26" s="597" t="s">
        <v>156</v>
      </c>
      <c r="B26" s="232">
        <v>0.73499999999999999</v>
      </c>
      <c r="C26" s="232">
        <v>6.9999999999999993E-3</v>
      </c>
      <c r="D26" s="232">
        <v>1.8000000000000002E-2</v>
      </c>
      <c r="E26" s="232">
        <v>0.20300000000000001</v>
      </c>
      <c r="F26" s="20">
        <v>3.17</v>
      </c>
      <c r="G26" s="116">
        <f>B26*F26*(IF(AND('Résultat - projection'!$B$209=2, 'Résultat - projection'!$B$210&lt;&gt;1),B69/(B69+0.5*D69),1))/F69</f>
        <v>1.733692322847409</v>
      </c>
      <c r="H26" s="116">
        <f>C257/'Clés de répartition'!$G$243</f>
        <v>2.2097375246604985E-2</v>
      </c>
      <c r="I26" s="116">
        <f>M213+IF(AND('Résultat - projection'!$B$209=2, 'Résultat - projection'!$B$210&lt;&gt;1),B26*F26*0.5*D69/(B69+0.5*D69),0)</f>
        <v>5.1248999999999996E-2</v>
      </c>
      <c r="J26" s="116">
        <f t="shared" si="23"/>
        <v>0.64351000000000003</v>
      </c>
      <c r="K26" s="328">
        <f t="shared" si="32"/>
        <v>1.9716611916492759</v>
      </c>
      <c r="L26" s="328">
        <f t="shared" si="33"/>
        <v>0.31456534166335975</v>
      </c>
      <c r="M26" s="20">
        <f t="shared" si="34"/>
        <v>6.5065740618568957E-2</v>
      </c>
      <c r="N26" s="329">
        <f t="shared" si="35"/>
        <v>9.9256424162810414E-2</v>
      </c>
      <c r="O26" s="116">
        <f t="shared" si="28"/>
        <v>0.31465796641675475</v>
      </c>
      <c r="P26" s="329">
        <f t="shared" si="29"/>
        <v>2.2420740618568955E-2</v>
      </c>
      <c r="Q26" s="231">
        <f t="shared" si="0"/>
        <v>0.80457947772382266</v>
      </c>
      <c r="R26" s="231">
        <f t="shared" si="1"/>
        <v>0.12836526852456434</v>
      </c>
      <c r="S26" s="231">
        <f t="shared" si="2"/>
        <v>2.6551498719113692E-2</v>
      </c>
      <c r="T26" s="231">
        <f t="shared" si="3"/>
        <v>4.050375503249945E-2</v>
      </c>
      <c r="U26" s="134">
        <f t="shared" si="4"/>
        <v>0.95941073352553674</v>
      </c>
      <c r="V26" s="134">
        <f t="shared" si="5"/>
        <v>1.2228501398399679E-2</v>
      </c>
      <c r="W26" s="134">
        <f t="shared" si="6"/>
        <v>2.8360765076063516E-2</v>
      </c>
      <c r="X26" s="134">
        <f t="shared" si="7"/>
        <v>0</v>
      </c>
      <c r="Y26" s="20">
        <f t="shared" si="8"/>
        <v>1.9716611916492759</v>
      </c>
      <c r="Z26" s="20">
        <f t="shared" si="9"/>
        <v>0.31456534166335975</v>
      </c>
      <c r="AA26" s="20">
        <f t="shared" si="36"/>
        <v>7.3669740618568957E-2</v>
      </c>
      <c r="AB26" s="20">
        <f t="shared" si="11"/>
        <v>9.9256424162810414E-2</v>
      </c>
      <c r="AC26" s="16">
        <f t="shared" si="12"/>
        <v>0.80176444235342814</v>
      </c>
      <c r="AD26" s="16">
        <f t="shared" si="13"/>
        <v>0.12791614847958244</v>
      </c>
      <c r="AE26" s="16">
        <f t="shared" si="14"/>
        <v>2.9957367297958871E-2</v>
      </c>
      <c r="AF26" s="16">
        <f t="shared" si="15"/>
        <v>4.0362041869030696E-2</v>
      </c>
      <c r="AG26" s="253"/>
      <c r="AH26" s="253"/>
      <c r="AI26" s="254"/>
      <c r="AJ26" s="254"/>
      <c r="AK26" s="255"/>
      <c r="AL26" s="255"/>
      <c r="AM26" s="255"/>
      <c r="AN26" s="255"/>
      <c r="AO26">
        <v>2.1499999999999998E-2</v>
      </c>
    </row>
    <row r="27" spans="1:56">
      <c r="A27" s="597" t="s">
        <v>403</v>
      </c>
      <c r="B27" s="232">
        <v>0.8859999999999999</v>
      </c>
      <c r="C27" s="232">
        <v>0</v>
      </c>
      <c r="D27" s="232">
        <v>6.0000000000000001E-3</v>
      </c>
      <c r="E27" s="232">
        <v>3.7000000000000005E-2</v>
      </c>
      <c r="F27" s="20">
        <v>0.91</v>
      </c>
      <c r="G27" s="116">
        <f>B27*F27*(IF(AND('Résultat - projection'!$B$209=2, 'Résultat - projection'!$B$210&lt;&gt;1),B70/(B70+0.5*D70),1))/F70</f>
        <v>0.66172137030546108</v>
      </c>
      <c r="H27" s="116">
        <f>C258/'Clés de répartition'!$G$243</f>
        <v>2.2576998822733318E-3</v>
      </c>
      <c r="I27" s="116">
        <f>M214+IF(AND('Résultat - projection'!$B$209=2, 'Résultat - projection'!$B$210&lt;&gt;1),B27*F27*0.5*D70/(B70+0.5*D70),0)</f>
        <v>2.8818E-2</v>
      </c>
      <c r="J27" s="116">
        <f>E27*F27</f>
        <v>3.3670000000000005E-2</v>
      </c>
      <c r="K27" s="328">
        <f t="shared" si="32"/>
        <v>0.68676382114312484</v>
      </c>
      <c r="L27" s="328">
        <f t="shared" si="33"/>
        <v>8.937626183509309E-3</v>
      </c>
      <c r="M27" s="20">
        <f t="shared" si="34"/>
        <v>2.9023698098931475E-2</v>
      </c>
      <c r="N27" s="329">
        <f t="shared" si="35"/>
        <v>1.7419247621687421E-3</v>
      </c>
      <c r="O27" s="116">
        <f t="shared" si="28"/>
        <v>6.6799263012359764E-3</v>
      </c>
      <c r="P27" s="329">
        <f t="shared" si="29"/>
        <v>1.1314698098931476E-2</v>
      </c>
      <c r="Q27" s="231">
        <f t="shared" si="0"/>
        <v>0.94534748968821203</v>
      </c>
      <c r="R27" s="231">
        <f t="shared" si="1"/>
        <v>1.2302864851396001E-2</v>
      </c>
      <c r="S27" s="231">
        <f t="shared" si="2"/>
        <v>3.9951842678059915E-2</v>
      </c>
      <c r="T27" s="231">
        <f t="shared" si="3"/>
        <v>2.3978027823320226E-3</v>
      </c>
      <c r="U27" s="134">
        <f t="shared" si="4"/>
        <v>0.95514458530569069</v>
      </c>
      <c r="V27" s="134">
        <f t="shared" si="5"/>
        <v>3.258818461315865E-3</v>
      </c>
      <c r="W27" s="134">
        <f t="shared" si="6"/>
        <v>4.1596596232993437E-2</v>
      </c>
      <c r="X27" s="134">
        <f t="shared" si="7"/>
        <v>0</v>
      </c>
      <c r="Y27" s="20">
        <f t="shared" si="8"/>
        <v>0.68676382114312484</v>
      </c>
      <c r="Z27" s="20">
        <f t="shared" si="9"/>
        <v>8.937626183509309E-3</v>
      </c>
      <c r="AA27" s="20">
        <f t="shared" si="36"/>
        <v>4.0132698098931475E-2</v>
      </c>
      <c r="AB27" s="20">
        <f t="shared" si="11"/>
        <v>1.7419247621687421E-3</v>
      </c>
      <c r="AC27" s="16">
        <f t="shared" si="12"/>
        <v>0.93110914101148046</v>
      </c>
      <c r="AD27" s="16">
        <f t="shared" si="13"/>
        <v>1.2117565285482249E-2</v>
      </c>
      <c r="AE27" s="16">
        <f t="shared" si="14"/>
        <v>5.441160542087075E-2</v>
      </c>
      <c r="AF27" s="16">
        <f t="shared" si="15"/>
        <v>2.3616882821664376E-3</v>
      </c>
      <c r="AG27" s="253"/>
      <c r="AH27" s="253"/>
      <c r="AI27" s="254"/>
      <c r="AJ27" s="254"/>
      <c r="AK27" s="255"/>
      <c r="AL27" s="255"/>
      <c r="AM27" s="255"/>
      <c r="AN27" s="255"/>
      <c r="AO27">
        <v>0</v>
      </c>
    </row>
    <row r="28" spans="1:56">
      <c r="A28" s="597" t="s">
        <v>168</v>
      </c>
      <c r="B28" s="232">
        <v>0.76200000000000001</v>
      </c>
      <c r="C28" s="232">
        <v>0</v>
      </c>
      <c r="D28" s="232">
        <v>1E-3</v>
      </c>
      <c r="E28" s="232">
        <v>0.19500000000000001</v>
      </c>
      <c r="F28" s="20">
        <v>1.68</v>
      </c>
      <c r="G28" s="116">
        <f>B28*F28*(IF(AND('Résultat - projection'!$B$209=2, 'Résultat - projection'!$B$210&lt;&gt;1),B71/(B71+0.5*D71),1))/F71</f>
        <v>1.0091680119939155</v>
      </c>
      <c r="H28" s="116">
        <f>C259/'Clés de répartition'!$G$243</f>
        <v>1.9492706903220667E-2</v>
      </c>
      <c r="I28" s="116">
        <f>M215+IF(AND('Résultat - projection'!$B$209=2, 'Résultat - projection'!$B$210&lt;&gt;1),B28*F28*0.5*D71/(B71+0.5*D71),0)</f>
        <v>1.5490500000000001E-2</v>
      </c>
      <c r="J28" s="116">
        <f t="shared" si="23"/>
        <v>0.3276</v>
      </c>
      <c r="K28" s="328">
        <f t="shared" si="32"/>
        <v>1.2117596600640157</v>
      </c>
      <c r="L28" s="328">
        <f t="shared" si="33"/>
        <v>0.12171278607633362</v>
      </c>
      <c r="M28" s="20">
        <f t="shared" si="34"/>
        <v>1.9059727338268356E-2</v>
      </c>
      <c r="N28" s="329">
        <f t="shared" si="35"/>
        <v>1.9219045418517738E-2</v>
      </c>
      <c r="O28" s="116">
        <f t="shared" si="28"/>
        <v>0.10222007917311296</v>
      </c>
      <c r="P28" s="329">
        <f t="shared" si="29"/>
        <v>2.4743227338268354E-2</v>
      </c>
      <c r="Q28" s="231">
        <f t="shared" si="0"/>
        <v>0.88336692788817039</v>
      </c>
      <c r="R28" s="231">
        <f t="shared" si="1"/>
        <v>8.872803202186226E-2</v>
      </c>
      <c r="S28" s="231">
        <f t="shared" si="2"/>
        <v>1.3894448990241868E-2</v>
      </c>
      <c r="T28" s="231">
        <f t="shared" si="3"/>
        <v>1.4010591099725446E-2</v>
      </c>
      <c r="U28" s="134">
        <f t="shared" si="4"/>
        <v>0.96649603403214812</v>
      </c>
      <c r="V28" s="134">
        <f t="shared" si="5"/>
        <v>1.8668471147128905E-2</v>
      </c>
      <c r="W28" s="134">
        <f t="shared" si="6"/>
        <v>1.4835494820722932E-2</v>
      </c>
      <c r="X28" s="134">
        <f t="shared" si="7"/>
        <v>0</v>
      </c>
      <c r="Y28" s="20">
        <f t="shared" si="8"/>
        <v>1.2117596600640157</v>
      </c>
      <c r="Z28" s="20">
        <f t="shared" si="9"/>
        <v>0.12171278607633362</v>
      </c>
      <c r="AA28" s="20">
        <f t="shared" si="36"/>
        <v>4.0233727338268355E-2</v>
      </c>
      <c r="AB28" s="20">
        <f t="shared" si="11"/>
        <v>1.9219045418517738E-2</v>
      </c>
      <c r="AC28" s="16">
        <f t="shared" si="12"/>
        <v>0.86993877605535819</v>
      </c>
      <c r="AD28" s="16">
        <f t="shared" si="13"/>
        <v>8.7379268050513964E-2</v>
      </c>
      <c r="AE28" s="16">
        <f t="shared" si="14"/>
        <v>2.8884341235578946E-2</v>
      </c>
      <c r="AF28" s="16">
        <f t="shared" si="15"/>
        <v>1.3797614658549036E-2</v>
      </c>
      <c r="AG28" s="253"/>
      <c r="AH28" s="253"/>
      <c r="AI28" s="254"/>
      <c r="AJ28" s="254"/>
      <c r="AK28" s="255"/>
      <c r="AL28" s="255"/>
      <c r="AM28" s="255"/>
      <c r="AN28" s="255"/>
      <c r="AO28">
        <v>0</v>
      </c>
    </row>
    <row r="29" spans="1:56">
      <c r="A29" s="597" t="s">
        <v>167</v>
      </c>
      <c r="B29" s="232">
        <v>0.77900000000000003</v>
      </c>
      <c r="C29" s="232">
        <v>1.2E-2</v>
      </c>
      <c r="D29" s="232">
        <v>9.0000000000000011E-3</v>
      </c>
      <c r="E29" s="232">
        <v>0.155</v>
      </c>
      <c r="F29" s="20">
        <v>2.52</v>
      </c>
      <c r="G29" s="116">
        <f>B29*F29*(IF(AND('Résultat - projection'!$B$209=2, 'Résultat - projection'!$B$210&lt;&gt;1),B72/(B72+0.5*D72),1))/F72</f>
        <v>1.5800859605021391</v>
      </c>
      <c r="H29" s="116">
        <f>C260/'Clés de répartition'!$G$243</f>
        <v>1.467271944541643E-2</v>
      </c>
      <c r="I29" s="116">
        <f>M216+IF(AND('Résultat - projection'!$B$209=2, 'Résultat - projection'!$B$210&lt;&gt;1),B29*F29*0.5*D72/(B72+0.5*D72),0)</f>
        <v>1.4652000000000002E-2</v>
      </c>
      <c r="J29" s="116">
        <f t="shared" si="23"/>
        <v>0.3906</v>
      </c>
      <c r="K29" s="328">
        <f t="shared" si="32"/>
        <v>1.812360867341851</v>
      </c>
      <c r="L29" s="328">
        <f t="shared" si="33"/>
        <v>0.13043169356764389</v>
      </c>
      <c r="M29" s="20">
        <f t="shared" si="34"/>
        <v>2.0220497462928443E-2</v>
      </c>
      <c r="N29" s="329">
        <f t="shared" si="35"/>
        <v>3.6997621575131964E-2</v>
      </c>
      <c r="O29" s="116">
        <f t="shared" si="28"/>
        <v>0.14599897412222745</v>
      </c>
      <c r="P29" s="329">
        <f t="shared" si="29"/>
        <v>3.200599746292844E-2</v>
      </c>
      <c r="Q29" s="231">
        <f t="shared" si="0"/>
        <v>0.90617559471701181</v>
      </c>
      <c r="R29" s="231">
        <f t="shared" si="1"/>
        <v>6.5215498534769878E-2</v>
      </c>
      <c r="S29" s="231">
        <f t="shared" si="2"/>
        <v>1.0110194743289405E-2</v>
      </c>
      <c r="T29" s="231">
        <f t="shared" si="3"/>
        <v>1.8498712004928957E-2</v>
      </c>
      <c r="U29" s="134">
        <f t="shared" si="4"/>
        <v>0.98177921905776588</v>
      </c>
      <c r="V29" s="134">
        <f t="shared" si="5"/>
        <v>9.1168274376646711E-3</v>
      </c>
      <c r="W29" s="134">
        <f t="shared" si="6"/>
        <v>9.1039535045694207E-3</v>
      </c>
      <c r="X29" s="134">
        <f t="shared" si="7"/>
        <v>0</v>
      </c>
      <c r="Y29" s="20">
        <f t="shared" si="8"/>
        <v>1.812360867341851</v>
      </c>
      <c r="Z29" s="20">
        <f t="shared" si="9"/>
        <v>0.13043169356764389</v>
      </c>
      <c r="AA29" s="20">
        <f t="shared" si="36"/>
        <v>4.6657997462928438E-2</v>
      </c>
      <c r="AB29" s="20">
        <f t="shared" si="11"/>
        <v>3.6997621575131964E-2</v>
      </c>
      <c r="AC29" s="16">
        <f t="shared" si="12"/>
        <v>0.89435342352981118</v>
      </c>
      <c r="AD29" s="16">
        <f t="shared" si="13"/>
        <v>6.4364682432204848E-2</v>
      </c>
      <c r="AE29" s="16">
        <f t="shared" si="14"/>
        <v>2.3024520402064243E-2</v>
      </c>
      <c r="AF29" s="16">
        <f t="shared" si="15"/>
        <v>1.8257373635919703E-2</v>
      </c>
      <c r="AG29" s="253"/>
      <c r="AH29" s="253"/>
      <c r="AI29" s="254"/>
      <c r="AJ29" s="254"/>
      <c r="AK29" s="255"/>
      <c r="AL29" s="255"/>
      <c r="AM29" s="255"/>
      <c r="AN29" s="255"/>
      <c r="AO29">
        <v>3.0600000000000002E-2</v>
      </c>
    </row>
    <row r="30" spans="1:56">
      <c r="A30" s="597" t="s">
        <v>170</v>
      </c>
      <c r="B30" s="232">
        <v>0.72900000000000009</v>
      </c>
      <c r="C30" s="232">
        <v>6.0000000000000001E-3</v>
      </c>
      <c r="D30" s="232">
        <v>1.3999999999999999E-2</v>
      </c>
      <c r="E30" s="232">
        <v>0.20800000000000002</v>
      </c>
      <c r="F30" s="20">
        <v>4.0199999999999996</v>
      </c>
      <c r="G30" s="116">
        <f>B30*F30*(IF(AND('Résultat - projection'!$B$209=2, 'Résultat - projection'!$B$210&lt;&gt;1),B73/(B73+0.5*D73),1))/F73</f>
        <v>2.3787314889120368</v>
      </c>
      <c r="H30" s="116">
        <f>C261/'Clés de répartition'!$G$243</f>
        <v>2.4182031749820074E-2</v>
      </c>
      <c r="I30" s="116">
        <f>M217+IF(AND('Résultat - projection'!$B$209=2, 'Résultat - projection'!$B$210&lt;&gt;1),B30*F30*0.5*D73/(B73+0.5*D73),0)</f>
        <v>7.1124000000000007E-2</v>
      </c>
      <c r="J30" s="116">
        <f t="shared" si="23"/>
        <v>0.83616000000000001</v>
      </c>
      <c r="K30" s="328">
        <f t="shared" si="32"/>
        <v>2.7232543619752589</v>
      </c>
      <c r="L30" s="328">
        <f t="shared" si="33"/>
        <v>0.39895958192665792</v>
      </c>
      <c r="M30" s="20">
        <f t="shared" si="34"/>
        <v>0.10324582869880035</v>
      </c>
      <c r="N30" s="329">
        <f t="shared" si="35"/>
        <v>8.4737748061140317E-2</v>
      </c>
      <c r="O30" s="116">
        <f t="shared" si="28"/>
        <v>0.39889755017683781</v>
      </c>
      <c r="P30" s="329">
        <f t="shared" si="29"/>
        <v>6.912832869880034E-2</v>
      </c>
      <c r="Q30" s="231">
        <f t="shared" si="0"/>
        <v>0.82268636387316174</v>
      </c>
      <c r="R30" s="231">
        <f t="shared" si="1"/>
        <v>0.12052440358510326</v>
      </c>
      <c r="S30" s="231">
        <f t="shared" si="2"/>
        <v>3.1190232019192878E-2</v>
      </c>
      <c r="T30" s="231">
        <f t="shared" si="3"/>
        <v>2.5599000522542058E-2</v>
      </c>
      <c r="U30" s="134">
        <f t="shared" si="4"/>
        <v>0.96147753178604822</v>
      </c>
      <c r="V30" s="134">
        <f t="shared" si="5"/>
        <v>9.7743189211418544E-3</v>
      </c>
      <c r="W30" s="134">
        <f t="shared" si="6"/>
        <v>2.874814929280977E-2</v>
      </c>
      <c r="X30" s="134">
        <f t="shared" si="7"/>
        <v>0</v>
      </c>
      <c r="Y30" s="20">
        <f t="shared" si="8"/>
        <v>2.7232543619752589</v>
      </c>
      <c r="Z30" s="20">
        <f t="shared" si="9"/>
        <v>0.39895958192665792</v>
      </c>
      <c r="AA30" s="20">
        <f t="shared" si="36"/>
        <v>0.14025232869880033</v>
      </c>
      <c r="AB30" s="20">
        <f t="shared" si="11"/>
        <v>8.4737748061140317E-2</v>
      </c>
      <c r="AC30" s="16">
        <f t="shared" si="12"/>
        <v>0.81359078955598818</v>
      </c>
      <c r="AD30" s="16">
        <f t="shared" si="13"/>
        <v>0.11919189253595897</v>
      </c>
      <c r="AE30" s="16">
        <f t="shared" si="14"/>
        <v>4.1901338500145449E-2</v>
      </c>
      <c r="AF30" s="16">
        <f t="shared" si="15"/>
        <v>2.5315979407907363E-2</v>
      </c>
      <c r="AG30" s="253"/>
      <c r="AH30" s="253"/>
      <c r="AI30" s="254"/>
      <c r="AJ30" s="254"/>
      <c r="AK30" s="255"/>
      <c r="AL30" s="255"/>
      <c r="AM30" s="255"/>
      <c r="AN30" s="255"/>
      <c r="AO30">
        <v>2.3900000000000001E-2</v>
      </c>
    </row>
    <row r="31" spans="1:56">
      <c r="A31" s="597" t="s">
        <v>171</v>
      </c>
      <c r="B31" s="232">
        <v>0.745</v>
      </c>
      <c r="C31" s="232">
        <v>2.7000000000000003E-2</v>
      </c>
      <c r="D31" s="232">
        <v>4.0000000000000001E-3</v>
      </c>
      <c r="E31" s="232">
        <v>0.18</v>
      </c>
      <c r="F31" s="20">
        <v>2.1</v>
      </c>
      <c r="G31" s="116">
        <f>B31*F31*(IF(AND('Résultat - projection'!$B$209=2, 'Résultat - projection'!$B$210&lt;&gt;1),B74/(B74+0.5*D74),1))/F74</f>
        <v>1.2194226032383508</v>
      </c>
      <c r="H31" s="116">
        <f>C262/'Clés de répartition'!$G$243</f>
        <v>1.307122345861431E-2</v>
      </c>
      <c r="I31" s="116">
        <f>M218+IF(AND('Résultat - projection'!$B$209=2, 'Résultat - projection'!$B$210&lt;&gt;1),B31*F31*0.5*D74/(B74+0.5*D74),0)</f>
        <v>2.3730000000000001E-2</v>
      </c>
      <c r="J31" s="116">
        <f t="shared" si="23"/>
        <v>0.378</v>
      </c>
      <c r="K31" s="328">
        <f t="shared" si="32"/>
        <v>1.4088918372442765</v>
      </c>
      <c r="L31" s="328">
        <f t="shared" si="33"/>
        <v>0.14536237994851661</v>
      </c>
      <c r="M31" s="20">
        <f t="shared" si="34"/>
        <v>2.6668404721706691E-2</v>
      </c>
      <c r="N31" s="329">
        <f t="shared" si="35"/>
        <v>5.3301204782465222E-2</v>
      </c>
      <c r="O31" s="116">
        <f t="shared" si="28"/>
        <v>0.18899115648990231</v>
      </c>
      <c r="P31" s="329">
        <f t="shared" si="29"/>
        <v>1.4522904721706687E-2</v>
      </c>
      <c r="Q31" s="231">
        <f t="shared" si="0"/>
        <v>0.86211681302669441</v>
      </c>
      <c r="R31" s="231">
        <f t="shared" si="1"/>
        <v>8.8948880547359208E-2</v>
      </c>
      <c r="S31" s="231">
        <f t="shared" si="2"/>
        <v>1.6318697773246838E-2</v>
      </c>
      <c r="T31" s="231">
        <f t="shared" si="3"/>
        <v>3.2615608652699503E-2</v>
      </c>
      <c r="U31" s="134">
        <f t="shared" si="4"/>
        <v>0.97070488341605721</v>
      </c>
      <c r="V31" s="134">
        <f t="shared" si="5"/>
        <v>1.0405170783126244E-2</v>
      </c>
      <c r="W31" s="134">
        <f t="shared" si="6"/>
        <v>1.8889945800816522E-2</v>
      </c>
      <c r="X31" s="134">
        <f t="shared" si="7"/>
        <v>0</v>
      </c>
      <c r="Y31" s="20">
        <f t="shared" si="8"/>
        <v>1.4088918372442765</v>
      </c>
      <c r="Z31" s="20">
        <f t="shared" si="9"/>
        <v>0.14536237994851661</v>
      </c>
      <c r="AA31" s="20">
        <f t="shared" si="36"/>
        <v>3.8252904721706692E-2</v>
      </c>
      <c r="AB31" s="20">
        <f t="shared" si="11"/>
        <v>5.3301204782465222E-2</v>
      </c>
      <c r="AC31" s="16">
        <f t="shared" si="12"/>
        <v>0.85604855340101171</v>
      </c>
      <c r="AD31" s="16">
        <f t="shared" si="13"/>
        <v>8.8322788012775391E-2</v>
      </c>
      <c r="AE31" s="16">
        <f t="shared" si="14"/>
        <v>2.3242624369556993E-2</v>
      </c>
      <c r="AF31" s="16">
        <f t="shared" si="15"/>
        <v>3.2386034216655972E-2</v>
      </c>
      <c r="AG31" s="253"/>
      <c r="AH31" s="253"/>
      <c r="AI31" s="254"/>
      <c r="AJ31" s="254"/>
      <c r="AK31" s="255"/>
      <c r="AL31" s="255"/>
      <c r="AM31" s="255"/>
      <c r="AN31" s="255"/>
      <c r="AO31">
        <v>5.5999999999999994E-2</v>
      </c>
    </row>
    <row r="32" spans="1:56">
      <c r="A32" s="597" t="s">
        <v>172</v>
      </c>
      <c r="B32" s="232">
        <v>0.71400000000000008</v>
      </c>
      <c r="C32" s="232">
        <v>0</v>
      </c>
      <c r="D32" s="232">
        <v>1.2E-2</v>
      </c>
      <c r="E32" s="232">
        <v>0.22800000000000001</v>
      </c>
      <c r="F32" s="20">
        <v>0.54</v>
      </c>
      <c r="G32" s="116">
        <f>B32*F32*(IF(AND('Résultat - projection'!$B$209=2, 'Résultat - projection'!$B$210&lt;&gt;1),B75/(B75+0.5*D75),1))/F75</f>
        <v>0.31035940890080432</v>
      </c>
      <c r="H32" s="116">
        <f>C263/'Clés de répartition'!$G$243</f>
        <v>2.502860922091097E-3</v>
      </c>
      <c r="I32" s="116">
        <f>M219+IF(AND('Résultat - projection'!$B$209=2, 'Résultat - projection'!$B$210&lt;&gt;1),B32*F32*0.5*D75/(B75+0.5*D75),0)</f>
        <v>9.1800000000000007E-3</v>
      </c>
      <c r="J32" s="116">
        <f t="shared" si="23"/>
        <v>0.12312000000000001</v>
      </c>
      <c r="K32" s="328">
        <f t="shared" si="32"/>
        <v>0.34996124494311309</v>
      </c>
      <c r="L32" s="328">
        <f t="shared" si="33"/>
        <v>4.8542186996996251E-2</v>
      </c>
      <c r="M32" s="20">
        <f t="shared" si="34"/>
        <v>1.9453605073508209E-2</v>
      </c>
      <c r="N32" s="329">
        <f t="shared" si="35"/>
        <v>2.7205232809277783E-2</v>
      </c>
      <c r="O32" s="116">
        <f t="shared" si="28"/>
        <v>4.6039326074905157E-2</v>
      </c>
      <c r="P32" s="329">
        <f t="shared" si="29"/>
        <v>1.4245605073508208E-2</v>
      </c>
      <c r="Q32" s="231">
        <f t="shared" si="0"/>
        <v>0.78614309582513076</v>
      </c>
      <c r="R32" s="231">
        <f t="shared" si="1"/>
        <v>0.10904380332211987</v>
      </c>
      <c r="S32" s="231">
        <f t="shared" si="2"/>
        <v>4.3700031184690673E-2</v>
      </c>
      <c r="T32" s="231">
        <f t="shared" si="3"/>
        <v>6.1113069668058781E-2</v>
      </c>
      <c r="U32" s="134">
        <f t="shared" si="4"/>
        <v>0.9637225854589957</v>
      </c>
      <c r="V32" s="134">
        <f t="shared" si="5"/>
        <v>7.7718397757770277E-3</v>
      </c>
      <c r="W32" s="134">
        <f t="shared" si="6"/>
        <v>2.8505574765227148E-2</v>
      </c>
      <c r="X32" s="134">
        <f t="shared" si="7"/>
        <v>0</v>
      </c>
      <c r="Y32" s="20">
        <f t="shared" si="8"/>
        <v>0.34996124494311309</v>
      </c>
      <c r="Z32" s="20">
        <f t="shared" si="9"/>
        <v>4.8542186996996251E-2</v>
      </c>
      <c r="AA32" s="20">
        <f t="shared" si="36"/>
        <v>2.3425605073508209E-2</v>
      </c>
      <c r="AB32" s="20">
        <f t="shared" si="11"/>
        <v>2.7205232809277783E-2</v>
      </c>
      <c r="AC32" s="16">
        <f t="shared" si="12"/>
        <v>0.77919069743021707</v>
      </c>
      <c r="AD32" s="16">
        <f t="shared" si="13"/>
        <v>0.10807945476112885</v>
      </c>
      <c r="AE32" s="16">
        <f t="shared" si="14"/>
        <v>5.2157242605302641E-2</v>
      </c>
      <c r="AF32" s="16">
        <f t="shared" si="15"/>
        <v>6.057260520335149E-2</v>
      </c>
      <c r="AG32" s="253"/>
      <c r="AH32" s="253"/>
      <c r="AI32" s="254"/>
      <c r="AJ32" s="254"/>
      <c r="AK32" s="255"/>
      <c r="AL32" s="255"/>
      <c r="AM32" s="255"/>
      <c r="AN32" s="255"/>
      <c r="AO32">
        <v>0</v>
      </c>
    </row>
    <row r="33" spans="1:41">
      <c r="A33" s="597" t="s">
        <v>173</v>
      </c>
      <c r="B33" s="232">
        <v>0.879</v>
      </c>
      <c r="C33" s="232">
        <v>3.0000000000000001E-3</v>
      </c>
      <c r="D33" s="232">
        <v>6.0000000000000001E-3</v>
      </c>
      <c r="E33" s="232">
        <v>6.2E-2</v>
      </c>
      <c r="F33" s="20">
        <v>2.5099999999999998</v>
      </c>
      <c r="G33" s="116">
        <f>B33*F33*(IF(AND('Résultat - projection'!$B$209=2, 'Résultat - projection'!$B$210&lt;&gt;1),B76/(B76+0.5*D76),1))/F76</f>
        <v>1.6820405422147324</v>
      </c>
      <c r="H33" s="116">
        <f>C264/'Clés de répartition'!$G$243</f>
        <v>1.76345595459898E-2</v>
      </c>
      <c r="I33" s="116">
        <f>M220+IF(AND('Résultat - projection'!$B$209=2, 'Résultat - projection'!$B$210&lt;&gt;1),B33*F33*0.5*D76/(B76+0.5*D76),0)</f>
        <v>5.9315999999999994E-2</v>
      </c>
      <c r="J33" s="116">
        <f t="shared" si="23"/>
        <v>0.15561999999999998</v>
      </c>
      <c r="K33" s="328">
        <f t="shared" si="32"/>
        <v>1.7911812007250689</v>
      </c>
      <c r="L33" s="328">
        <f t="shared" si="33"/>
        <v>5.7723559448293771E-2</v>
      </c>
      <c r="M33" s="20">
        <f t="shared" si="34"/>
        <v>5.9777835375905038E-2</v>
      </c>
      <c r="N33" s="329">
        <f t="shared" si="35"/>
        <v>5.9285062114546429E-3</v>
      </c>
      <c r="O33" s="116">
        <f t="shared" si="28"/>
        <v>4.761899990230397E-2</v>
      </c>
      <c r="P33" s="329">
        <f t="shared" si="29"/>
        <v>1.5856335375905046E-2</v>
      </c>
      <c r="Q33" s="231">
        <f t="shared" si="0"/>
        <v>0.9355326515540705</v>
      </c>
      <c r="R33" s="231">
        <f t="shared" si="1"/>
        <v>3.0148973541002558E-2</v>
      </c>
      <c r="S33" s="231">
        <f t="shared" si="2"/>
        <v>3.1221920378990756E-2</v>
      </c>
      <c r="T33" s="231">
        <f t="shared" si="3"/>
        <v>3.0964545259361789E-3</v>
      </c>
      <c r="U33" s="134">
        <f t="shared" si="4"/>
        <v>0.95625301374807226</v>
      </c>
      <c r="V33" s="134">
        <f t="shared" si="5"/>
        <v>1.0025383032545125E-2</v>
      </c>
      <c r="W33" s="134">
        <f t="shared" si="6"/>
        <v>3.3721603219382758E-2</v>
      </c>
      <c r="X33" s="134">
        <f t="shared" si="7"/>
        <v>0</v>
      </c>
      <c r="Y33" s="20">
        <f t="shared" si="8"/>
        <v>1.7911812007250689</v>
      </c>
      <c r="Z33" s="20">
        <f t="shared" si="9"/>
        <v>5.7723559448293771E-2</v>
      </c>
      <c r="AA33" s="20">
        <f t="shared" si="36"/>
        <v>7.5172335375905036E-2</v>
      </c>
      <c r="AB33" s="20">
        <f t="shared" si="11"/>
        <v>5.9285062114546429E-3</v>
      </c>
      <c r="AC33" s="16">
        <f t="shared" si="12"/>
        <v>0.92807046730382259</v>
      </c>
      <c r="AD33" s="16">
        <f t="shared" si="13"/>
        <v>2.9908493216617205E-2</v>
      </c>
      <c r="AE33" s="16">
        <f t="shared" si="14"/>
        <v>3.8949283518828218E-2</v>
      </c>
      <c r="AF33" s="16">
        <f t="shared" si="15"/>
        <v>3.0717559607319968E-3</v>
      </c>
      <c r="AG33" s="253"/>
      <c r="AH33" s="253"/>
      <c r="AI33" s="254"/>
      <c r="AJ33" s="254"/>
      <c r="AK33" s="255"/>
      <c r="AL33" s="255"/>
      <c r="AM33" s="255"/>
      <c r="AN33" s="255"/>
      <c r="AO33">
        <v>6.8000000000000005E-3</v>
      </c>
    </row>
    <row r="34" spans="1:41">
      <c r="A34" s="597" t="s">
        <v>350</v>
      </c>
      <c r="B34" s="232">
        <v>0.63200000000000001</v>
      </c>
      <c r="C34" s="232">
        <v>1.3000000000000001E-2</v>
      </c>
      <c r="D34" s="232">
        <v>2.5000000000000001E-2</v>
      </c>
      <c r="E34" s="232">
        <v>0.28699999999999998</v>
      </c>
      <c r="F34" s="20">
        <v>1.99</v>
      </c>
      <c r="G34" s="116">
        <f>B34*F34*(IF(AND('Résultat - projection'!$B$209=2, 'Résultat - projection'!$B$210&lt;&gt;1),B77/(B77+0.5*D77),1))/F77</f>
        <v>1.095394364021649</v>
      </c>
      <c r="H34" s="116">
        <f>C265/'Clés de répartition'!$G$243</f>
        <v>1.2599700586954048E-2</v>
      </c>
      <c r="I34" s="116">
        <f>M221+IF(AND('Résultat - projection'!$B$209=2, 'Résultat - projection'!$B$210&lt;&gt;1),B34*F34*0.5*D77/(B77+0.5*D77),0)</f>
        <v>6.0965999999999999E-2</v>
      </c>
      <c r="J34" s="116">
        <f t="shared" si="23"/>
        <v>0.57112999999999992</v>
      </c>
      <c r="K34" s="328">
        <f t="shared" si="32"/>
        <v>1.2312654920073622</v>
      </c>
      <c r="L34" s="328">
        <f t="shared" si="33"/>
        <v>0.24741406824303327</v>
      </c>
      <c r="M34" s="20">
        <f t="shared" si="34"/>
        <v>0.12643271527785574</v>
      </c>
      <c r="N34" s="329">
        <f t="shared" si="35"/>
        <v>0.13497778908035224</v>
      </c>
      <c r="O34" s="116">
        <f t="shared" si="28"/>
        <v>0.26068436765607922</v>
      </c>
      <c r="P34" s="329">
        <f t="shared" si="29"/>
        <v>8.5901215277855728E-2</v>
      </c>
      <c r="Q34" s="231">
        <f t="shared" si="0"/>
        <v>0.70758722036856714</v>
      </c>
      <c r="R34" s="231">
        <f t="shared" si="1"/>
        <v>0.14218463358601144</v>
      </c>
      <c r="S34" s="231">
        <f t="shared" si="2"/>
        <v>7.2658719137215527E-2</v>
      </c>
      <c r="T34" s="231">
        <f t="shared" si="3"/>
        <v>7.7569426908205841E-2</v>
      </c>
      <c r="U34" s="134">
        <f t="shared" si="4"/>
        <v>0.93706739621461255</v>
      </c>
      <c r="V34" s="134">
        <f t="shared" si="5"/>
        <v>1.0778555203400162E-2</v>
      </c>
      <c r="W34" s="134">
        <f t="shared" si="6"/>
        <v>5.215404858198721E-2</v>
      </c>
      <c r="X34" s="134">
        <f t="shared" si="7"/>
        <v>0</v>
      </c>
      <c r="Y34" s="20">
        <f t="shared" si="8"/>
        <v>1.2312654920073622</v>
      </c>
      <c r="Z34" s="20">
        <f t="shared" si="9"/>
        <v>0.24741406824303327</v>
      </c>
      <c r="AA34" s="20">
        <f t="shared" si="36"/>
        <v>0.14686721527785573</v>
      </c>
      <c r="AB34" s="20">
        <f t="shared" si="11"/>
        <v>0.13497778908035224</v>
      </c>
      <c r="AC34" s="16">
        <f t="shared" si="12"/>
        <v>0.69937421877501305</v>
      </c>
      <c r="AD34" s="16">
        <f t="shared" si="13"/>
        <v>0.14053428916400146</v>
      </c>
      <c r="AE34" s="16">
        <f t="shared" si="14"/>
        <v>8.3422417517080752E-2</v>
      </c>
      <c r="AF34" s="16">
        <f t="shared" si="15"/>
        <v>7.6669074543904606E-2</v>
      </c>
      <c r="AG34" s="253"/>
      <c r="AH34" s="253"/>
      <c r="AI34" s="254"/>
      <c r="AJ34" s="254"/>
      <c r="AK34" s="255"/>
      <c r="AL34" s="255"/>
      <c r="AM34" s="255"/>
      <c r="AN34" s="255"/>
      <c r="AO34">
        <v>2.6099999999999998E-2</v>
      </c>
    </row>
    <row r="35" spans="1:41">
      <c r="A35" s="597" t="s">
        <v>174</v>
      </c>
      <c r="B35" s="232">
        <v>0.77599999999999991</v>
      </c>
      <c r="C35" s="232">
        <v>6.9999999999999993E-3</v>
      </c>
      <c r="D35" s="232">
        <v>1.2E-2</v>
      </c>
      <c r="E35" s="232">
        <v>0.15</v>
      </c>
      <c r="F35" s="20">
        <v>4.87</v>
      </c>
      <c r="G35" s="116">
        <f>B35*F35*(IF(AND('Résultat - projection'!$B$209=2, 'Résultat - projection'!$B$210&lt;&gt;1),B78/(B78+0.5*D78),1))/F78</f>
        <v>3.0400876275492785</v>
      </c>
      <c r="H35" s="116">
        <f>C266/'Clés de répartition'!$G$243</f>
        <v>2.8958580746334769E-2</v>
      </c>
      <c r="I35" s="116">
        <f>M222+IF(AND('Résultat - projection'!$B$209=2, 'Résultat - projection'!$B$210&lt;&gt;1),B35*F35*0.5*D78/(B78+0.5*D78),0)</f>
        <v>7.5698999999999989E-2</v>
      </c>
      <c r="J35" s="116">
        <f t="shared" si="23"/>
        <v>0.73050000000000004</v>
      </c>
      <c r="K35" s="328">
        <f t="shared" si="32"/>
        <v>3.504084067601549</v>
      </c>
      <c r="L35" s="328">
        <f t="shared" si="33"/>
        <v>0.26274112779807485</v>
      </c>
      <c r="M35" s="20">
        <f t="shared" si="34"/>
        <v>7.7625721879822682E-2</v>
      </c>
      <c r="N35" s="329">
        <f t="shared" si="35"/>
        <v>3.0794291016167798E-2</v>
      </c>
      <c r="O35" s="116">
        <f t="shared" si="28"/>
        <v>0.26787254705174007</v>
      </c>
      <c r="P35" s="329">
        <f t="shared" si="29"/>
        <v>4.5626221879822695E-2</v>
      </c>
      <c r="Q35" s="231">
        <f t="shared" si="0"/>
        <v>0.90422254057639173</v>
      </c>
      <c r="R35" s="231">
        <f t="shared" si="1"/>
        <v>6.7799871666348557E-2</v>
      </c>
      <c r="S35" s="231">
        <f t="shared" si="2"/>
        <v>2.0031176792026414E-2</v>
      </c>
      <c r="T35" s="231">
        <f t="shared" si="3"/>
        <v>7.9464109652332277E-3</v>
      </c>
      <c r="U35" s="134">
        <f t="shared" si="4"/>
        <v>0.9667198536561068</v>
      </c>
      <c r="V35" s="134">
        <f t="shared" si="5"/>
        <v>9.2085618478546689E-3</v>
      </c>
      <c r="W35" s="134">
        <f t="shared" si="6"/>
        <v>2.4071584496038478E-2</v>
      </c>
      <c r="X35" s="134">
        <f t="shared" si="7"/>
        <v>0</v>
      </c>
      <c r="Y35" s="20">
        <f t="shared" si="8"/>
        <v>3.504084067601549</v>
      </c>
      <c r="Z35" s="20">
        <f t="shared" si="9"/>
        <v>0.26274112779807485</v>
      </c>
      <c r="AA35" s="20">
        <f t="shared" si="36"/>
        <v>0.12132522187982268</v>
      </c>
      <c r="AB35" s="20">
        <f t="shared" si="11"/>
        <v>3.0794291016167798E-2</v>
      </c>
      <c r="AC35" s="16">
        <f t="shared" si="12"/>
        <v>0.89413970556515143</v>
      </c>
      <c r="AD35" s="16">
        <f t="shared" si="13"/>
        <v>6.7043846585001551E-2</v>
      </c>
      <c r="AE35" s="16">
        <f t="shared" si="14"/>
        <v>3.0958645990335536E-2</v>
      </c>
      <c r="AF35" s="16">
        <f t="shared" si="15"/>
        <v>7.8578018595114405E-3</v>
      </c>
      <c r="AG35" s="253"/>
      <c r="AH35" s="253"/>
      <c r="AI35" s="254"/>
      <c r="AJ35" s="254"/>
      <c r="AK35" s="255"/>
      <c r="AL35" s="255"/>
      <c r="AM35" s="255"/>
      <c r="AN35" s="255"/>
      <c r="AO35">
        <v>3.3300000000000003E-2</v>
      </c>
    </row>
    <row r="36" spans="1:41">
      <c r="A36" s="597" t="s">
        <v>175</v>
      </c>
      <c r="B36" s="232">
        <v>0.65500000000000003</v>
      </c>
      <c r="C36" s="232">
        <v>1.3999999999999999E-2</v>
      </c>
      <c r="D36" s="232">
        <v>2.5000000000000001E-2</v>
      </c>
      <c r="E36" s="232">
        <v>0.26300000000000001</v>
      </c>
      <c r="F36" s="20">
        <v>3.2</v>
      </c>
      <c r="G36" s="116">
        <f>B36*F36*(IF(AND('Résultat - projection'!$B$209=2, 'Résultat - projection'!$B$210&lt;&gt;1),B79/(B79+0.5*D79),1))/F79</f>
        <v>1.7408320126742598</v>
      </c>
      <c r="H36" s="116">
        <f>C267/'Clés de répartition'!$G$243</f>
        <v>1.6804056516410724E-2</v>
      </c>
      <c r="I36" s="116">
        <f>M223+IF(AND('Résultat - projection'!$B$209=2, 'Résultat - projection'!$B$210&lt;&gt;1),B36*F36*0.5*D79/(B79+0.5*D79),0)</f>
        <v>7.9033500000000007E-2</v>
      </c>
      <c r="J36" s="116">
        <f t="shared" si="23"/>
        <v>0.84160000000000013</v>
      </c>
      <c r="K36" s="328">
        <f t="shared" si="32"/>
        <v>2.0502573680534089</v>
      </c>
      <c r="L36" s="328">
        <f t="shared" si="33"/>
        <v>0.37563255909855359</v>
      </c>
      <c r="M36" s="20">
        <f t="shared" si="34"/>
        <v>0.13936048118471528</v>
      </c>
      <c r="N36" s="329">
        <f t="shared" si="35"/>
        <v>0.11301916085399535</v>
      </c>
      <c r="O36" s="116">
        <f t="shared" si="28"/>
        <v>0.40362850258214289</v>
      </c>
      <c r="P36" s="329">
        <f t="shared" si="29"/>
        <v>9.2438981184715274E-2</v>
      </c>
      <c r="Q36" s="231">
        <f t="shared" si="0"/>
        <v>0.76551568656061808</v>
      </c>
      <c r="R36" s="231">
        <f t="shared" si="1"/>
        <v>0.14025196097496015</v>
      </c>
      <c r="S36" s="231">
        <f t="shared" si="2"/>
        <v>5.2033776878862729E-2</v>
      </c>
      <c r="T36" s="231">
        <f t="shared" si="3"/>
        <v>4.2198575585559076E-2</v>
      </c>
      <c r="U36" s="134">
        <f t="shared" si="4"/>
        <v>0.94781992464837239</v>
      </c>
      <c r="V36" s="134">
        <f t="shared" si="5"/>
        <v>9.1491996155930438E-3</v>
      </c>
      <c r="W36" s="134">
        <f t="shared" si="6"/>
        <v>4.3030875736034632E-2</v>
      </c>
      <c r="X36" s="134">
        <f t="shared" si="7"/>
        <v>0</v>
      </c>
      <c r="Y36" s="20">
        <f t="shared" si="8"/>
        <v>2.0502573680534089</v>
      </c>
      <c r="Z36" s="20">
        <f t="shared" si="9"/>
        <v>0.37563255909855359</v>
      </c>
      <c r="AA36" s="20">
        <f t="shared" si="36"/>
        <v>0.17147248118471528</v>
      </c>
      <c r="AB36" s="20">
        <f t="shared" si="11"/>
        <v>0.11301916085399535</v>
      </c>
      <c r="AC36" s="16">
        <f t="shared" si="12"/>
        <v>0.75644602640417924</v>
      </c>
      <c r="AD36" s="16">
        <f t="shared" si="13"/>
        <v>0.13859028683209296</v>
      </c>
      <c r="AE36" s="16">
        <f t="shared" si="14"/>
        <v>6.3265070547213545E-2</v>
      </c>
      <c r="AF36" s="16">
        <f t="shared" si="15"/>
        <v>4.1698616216514182E-2</v>
      </c>
      <c r="AG36" s="253"/>
      <c r="AH36" s="253"/>
      <c r="AI36" s="254"/>
      <c r="AJ36" s="254"/>
      <c r="AK36" s="255"/>
      <c r="AL36" s="255"/>
      <c r="AM36" s="255"/>
      <c r="AN36" s="255"/>
      <c r="AO36">
        <v>4.53E-2</v>
      </c>
    </row>
    <row r="37" spans="1:41">
      <c r="A37" s="597" t="s">
        <v>176</v>
      </c>
      <c r="B37" s="232">
        <v>0.75599999999999989</v>
      </c>
      <c r="C37" s="232">
        <v>1.1000000000000001E-2</v>
      </c>
      <c r="D37" s="232">
        <v>0.02</v>
      </c>
      <c r="E37" s="232">
        <v>0.14400000000000002</v>
      </c>
      <c r="F37" s="20">
        <v>4.33</v>
      </c>
      <c r="G37" s="116">
        <f>B37*F37*(IF(AND('Résultat - projection'!$B$209=2, 'Résultat - projection'!$B$210&lt;&gt;1),B80/(B80+0.5*D80),1))/F80</f>
        <v>2.572074461878727</v>
      </c>
      <c r="H37" s="116">
        <f>C268/'Clés de répartition'!$G$243</f>
        <v>4.3928444082966561E-2</v>
      </c>
      <c r="I37" s="116">
        <f>M224+IF(AND('Résultat - projection'!$B$209=2, 'Résultat - projection'!$B$210&lt;&gt;1),B37*F37*0.5*D80/(B80+0.5*D80),0)</f>
        <v>9.0700500000000003E-2</v>
      </c>
      <c r="J37" s="116">
        <f t="shared" si="23"/>
        <v>0.62352000000000007</v>
      </c>
      <c r="K37" s="328">
        <f t="shared" si="32"/>
        <v>2.9096197792959826</v>
      </c>
      <c r="L37" s="328">
        <f t="shared" si="33"/>
        <v>0.27519006101188814</v>
      </c>
      <c r="M37" s="20">
        <f t="shared" si="34"/>
        <v>9.8941140260444968E-2</v>
      </c>
      <c r="N37" s="329">
        <f t="shared" si="35"/>
        <v>4.64724253933805E-2</v>
      </c>
      <c r="O37" s="116">
        <f t="shared" si="28"/>
        <v>0.27889161692892156</v>
      </c>
      <c r="P37" s="329">
        <f t="shared" si="29"/>
        <v>2.4395640260444964E-2</v>
      </c>
      <c r="Q37" s="231">
        <f t="shared" si="0"/>
        <v>0.87370107785779239</v>
      </c>
      <c r="R37" s="231">
        <f t="shared" si="1"/>
        <v>8.2634114131577077E-2</v>
      </c>
      <c r="S37" s="231">
        <f t="shared" si="2"/>
        <v>2.9710060917631714E-2</v>
      </c>
      <c r="T37" s="231">
        <f t="shared" si="3"/>
        <v>1.3954747092998786E-2</v>
      </c>
      <c r="U37" s="134">
        <f t="shared" si="4"/>
        <v>0.95026091747384012</v>
      </c>
      <c r="V37" s="134">
        <f t="shared" si="5"/>
        <v>1.622950042705501E-2</v>
      </c>
      <c r="W37" s="134">
        <f t="shared" si="6"/>
        <v>3.3509582099104818E-2</v>
      </c>
      <c r="X37" s="134">
        <f t="shared" si="7"/>
        <v>0</v>
      </c>
      <c r="Y37" s="20">
        <f t="shared" si="8"/>
        <v>2.9096197792959826</v>
      </c>
      <c r="Z37" s="20">
        <f t="shared" si="9"/>
        <v>0.27519006101188814</v>
      </c>
      <c r="AA37" s="20">
        <f t="shared" si="36"/>
        <v>0.11509614026044497</v>
      </c>
      <c r="AB37" s="20">
        <f t="shared" si="11"/>
        <v>4.64724253933805E-2</v>
      </c>
      <c r="AC37" s="16">
        <f t="shared" si="12"/>
        <v>0.8694831923707097</v>
      </c>
      <c r="AD37" s="16">
        <f t="shared" si="13"/>
        <v>8.2235189099244405E-2</v>
      </c>
      <c r="AE37" s="16">
        <f t="shared" si="14"/>
        <v>3.4394239472558444E-2</v>
      </c>
      <c r="AF37" s="16">
        <f t="shared" si="15"/>
        <v>1.3887379057487392E-2</v>
      </c>
      <c r="AG37" s="253"/>
      <c r="AH37" s="253"/>
      <c r="AI37" s="254"/>
      <c r="AJ37" s="254"/>
      <c r="AK37" s="255"/>
      <c r="AL37" s="255"/>
      <c r="AM37" s="255"/>
      <c r="AN37" s="255"/>
      <c r="AO37">
        <v>4.9000000000000002E-2</v>
      </c>
    </row>
    <row r="38" spans="1:41">
      <c r="A38" s="597" t="s">
        <v>177</v>
      </c>
      <c r="B38" s="232">
        <v>0.78400000000000003</v>
      </c>
      <c r="C38" s="232">
        <v>8.0000000000000002E-3</v>
      </c>
      <c r="D38" s="232">
        <v>3.0000000000000001E-3</v>
      </c>
      <c r="E38" s="232">
        <v>0.17100000000000001</v>
      </c>
      <c r="F38" s="20">
        <v>2.34</v>
      </c>
      <c r="G38" s="116">
        <f>B38*F38*(IF(AND('Résultat - projection'!$B$209=2, 'Résultat - projection'!$B$210&lt;&gt;1),B81/(B81+0.5*D81),1))/F81</f>
        <v>1.4200761360522978</v>
      </c>
      <c r="H38" s="116">
        <f>C269/'Clés de répartition'!$G$243</f>
        <v>9.030841855833513E-3</v>
      </c>
      <c r="I38" s="116">
        <f>M225+IF(AND('Résultat - projection'!$B$209=2, 'Résultat - projection'!$B$210&lt;&gt;1),B38*F38*0.5*D81/(B81+0.5*D81),0)</f>
        <v>1.095E-2</v>
      </c>
      <c r="J38" s="116">
        <f t="shared" si="23"/>
        <v>0.40014</v>
      </c>
      <c r="K38" s="328">
        <f t="shared" si="32"/>
        <v>1.6571994267296888</v>
      </c>
      <c r="L38" s="328">
        <f t="shared" si="33"/>
        <v>0.14434282675792415</v>
      </c>
      <c r="M38" s="20">
        <f t="shared" si="34"/>
        <v>1.2072331593700374E-2</v>
      </c>
      <c r="N38" s="329">
        <f t="shared" si="35"/>
        <v>2.6582392826818183E-2</v>
      </c>
      <c r="O38" s="116">
        <f t="shared" si="28"/>
        <v>0.15403198490209064</v>
      </c>
      <c r="P38" s="329">
        <f t="shared" si="29"/>
        <v>9.039331593700373E-3</v>
      </c>
      <c r="Q38" s="231">
        <f t="shared" si="0"/>
        <v>0.90055545500000356</v>
      </c>
      <c r="R38" s="231">
        <f t="shared" si="1"/>
        <v>7.8438791330919244E-2</v>
      </c>
      <c r="S38" s="231">
        <f t="shared" si="2"/>
        <v>6.5603474729231202E-3</v>
      </c>
      <c r="T38" s="231">
        <f t="shared" si="3"/>
        <v>1.4445406196154106E-2</v>
      </c>
      <c r="U38" s="134">
        <f t="shared" si="4"/>
        <v>0.98612496438518815</v>
      </c>
      <c r="V38" s="134">
        <f t="shared" si="5"/>
        <v>6.271169817844275E-3</v>
      </c>
      <c r="W38" s="134">
        <f t="shared" si="6"/>
        <v>7.6038657969674838E-3</v>
      </c>
      <c r="X38" s="134">
        <f t="shared" si="7"/>
        <v>0</v>
      </c>
      <c r="Y38" s="20">
        <f t="shared" si="8"/>
        <v>1.6571994267296888</v>
      </c>
      <c r="Z38" s="20">
        <f t="shared" si="9"/>
        <v>0.14434282675792415</v>
      </c>
      <c r="AA38" s="20">
        <f t="shared" si="36"/>
        <v>1.9989331593700373E-2</v>
      </c>
      <c r="AB38" s="20">
        <f t="shared" si="11"/>
        <v>2.6582392826818183E-2</v>
      </c>
      <c r="AC38" s="16">
        <f t="shared" si="12"/>
        <v>0.89669763149860615</v>
      </c>
      <c r="AD38" s="16">
        <f t="shared" si="13"/>
        <v>7.8102773142436202E-2</v>
      </c>
      <c r="AE38" s="16">
        <f t="shared" si="14"/>
        <v>1.081607077953394E-2</v>
      </c>
      <c r="AF38" s="16">
        <f t="shared" si="15"/>
        <v>1.4383524579423735E-2</v>
      </c>
      <c r="AG38" s="253"/>
      <c r="AH38" s="253"/>
      <c r="AI38" s="254"/>
      <c r="AJ38" s="254"/>
      <c r="AK38" s="255"/>
      <c r="AL38" s="255"/>
      <c r="AM38" s="255"/>
      <c r="AN38" s="255"/>
      <c r="AO38">
        <v>1.7600000000000001E-2</v>
      </c>
    </row>
    <row r="39" spans="1:41">
      <c r="A39" s="597" t="s">
        <v>351</v>
      </c>
      <c r="B39" s="232">
        <v>0.67099999999999993</v>
      </c>
      <c r="C39" s="232">
        <v>1.2E-2</v>
      </c>
      <c r="D39" s="232">
        <v>1.2E-2</v>
      </c>
      <c r="E39" s="232">
        <v>0.25800000000000001</v>
      </c>
      <c r="F39" s="20">
        <v>2.38</v>
      </c>
      <c r="G39" s="116">
        <f>B39*F39*(IF(AND('Résultat - projection'!$B$209=2, 'Résultat - projection'!$B$210&lt;&gt;1),B82/(B82+0.5*D82),1))/F82</f>
        <v>1.3524427609999981</v>
      </c>
      <c r="H39" s="116">
        <f>C270/'Clés de répartition'!$G$243</f>
        <v>2.184651092741868E-2</v>
      </c>
      <c r="I39" s="116">
        <f>M226+IF(AND('Résultat - projection'!$B$209=2, 'Résultat - projection'!$B$210&lt;&gt;1),B39*F39*0.5*D82/(B82+0.5*D82),0)</f>
        <v>2.8559999999999999E-2</v>
      </c>
      <c r="J39" s="116">
        <f t="shared" si="23"/>
        <v>0.61404000000000003</v>
      </c>
      <c r="K39" s="328">
        <f t="shared" si="32"/>
        <v>1.5586068549093923</v>
      </c>
      <c r="L39" s="328">
        <f t="shared" si="33"/>
        <v>0.28677560647749234</v>
      </c>
      <c r="M39" s="20">
        <f t="shared" si="34"/>
        <v>5.0093582396732048E-2</v>
      </c>
      <c r="N39" s="329">
        <f t="shared" si="35"/>
        <v>0.12141322814379908</v>
      </c>
      <c r="O39" s="116">
        <f t="shared" si="28"/>
        <v>0.29348909555007363</v>
      </c>
      <c r="P39" s="329">
        <f t="shared" si="29"/>
        <v>5.4683582396732051E-2</v>
      </c>
      <c r="Q39" s="231">
        <f t="shared" si="0"/>
        <v>0.77277760192552802</v>
      </c>
      <c r="R39" s="231">
        <f t="shared" si="1"/>
        <v>0.14218708506661781</v>
      </c>
      <c r="S39" s="231">
        <f t="shared" si="2"/>
        <v>2.483705134137618E-2</v>
      </c>
      <c r="T39" s="231">
        <f t="shared" si="3"/>
        <v>6.0198261666478105E-2</v>
      </c>
      <c r="U39" s="134">
        <f t="shared" si="4"/>
        <v>0.96406847696605102</v>
      </c>
      <c r="V39" s="134">
        <f t="shared" si="5"/>
        <v>1.5572956670821167E-2</v>
      </c>
      <c r="W39" s="134">
        <f t="shared" si="6"/>
        <v>2.0358566363127922E-2</v>
      </c>
      <c r="X39" s="134">
        <f t="shared" si="7"/>
        <v>0</v>
      </c>
      <c r="Y39" s="20">
        <f t="shared" si="8"/>
        <v>1.5586068549093923</v>
      </c>
      <c r="Z39" s="20">
        <f t="shared" si="9"/>
        <v>0.28677560647749234</v>
      </c>
      <c r="AA39" s="20">
        <f t="shared" si="36"/>
        <v>8.3243582396732047E-2</v>
      </c>
      <c r="AB39" s="20">
        <f t="shared" si="11"/>
        <v>0.12141322814379908</v>
      </c>
      <c r="AC39" s="16">
        <f t="shared" si="12"/>
        <v>0.76028146204438996</v>
      </c>
      <c r="AD39" s="16">
        <f t="shared" si="13"/>
        <v>0.13988785990810326</v>
      </c>
      <c r="AE39" s="16">
        <f t="shared" si="14"/>
        <v>4.0605847671624215E-2</v>
      </c>
      <c r="AF39" s="16">
        <f t="shared" si="15"/>
        <v>5.9224830375882616E-2</v>
      </c>
      <c r="AG39" s="253"/>
      <c r="AH39" s="253"/>
      <c r="AI39" s="254"/>
      <c r="AJ39" s="254"/>
      <c r="AK39" s="255"/>
      <c r="AL39" s="255"/>
      <c r="AM39" s="255"/>
      <c r="AN39" s="255"/>
      <c r="AO39">
        <v>2.7699999999999999E-2</v>
      </c>
    </row>
    <row r="40" spans="1:41">
      <c r="A40" s="597" t="s">
        <v>856</v>
      </c>
      <c r="B40" s="232">
        <v>0.72099999999999997</v>
      </c>
      <c r="C40" s="232">
        <v>1E-3</v>
      </c>
      <c r="D40" s="232">
        <v>0.01</v>
      </c>
      <c r="E40" s="232">
        <v>0.20899999999999999</v>
      </c>
      <c r="F40" s="20">
        <v>1.37</v>
      </c>
      <c r="G40" s="116">
        <f>B40*F40*(IF(AND('Résultat - projection'!$B$209=2, 'Résultat - projection'!$B$210&lt;&gt;1),B83/(B83+0.5*D83),1))/F83</f>
        <v>0.79469451470144825</v>
      </c>
      <c r="H40" s="116">
        <f>C271/'Clés de répartition'!$G$243</f>
        <v>9.4339283349901583E-3</v>
      </c>
      <c r="I40" s="116">
        <f>M227+IF(AND('Résultat - projection'!$B$209=2, 'Résultat - projection'!$B$210&lt;&gt;1),B40*F40*0.5*D83/(B83+0.5*D83),0)</f>
        <v>2.0373000000000002E-2</v>
      </c>
      <c r="J40" s="116">
        <f t="shared" si="23"/>
        <v>0.28633000000000003</v>
      </c>
      <c r="K40" s="328">
        <f t="shared" si="32"/>
        <v>0.9095739047245659</v>
      </c>
      <c r="L40" s="328">
        <f t="shared" si="33"/>
        <v>0.13952593217828188</v>
      </c>
      <c r="M40" s="20">
        <f t="shared" si="34"/>
        <v>2.9657161227389928E-2</v>
      </c>
      <c r="N40" s="329">
        <f t="shared" si="35"/>
        <v>3.2074444906200456E-2</v>
      </c>
      <c r="O40" s="116">
        <f t="shared" si="28"/>
        <v>0.13146200384329174</v>
      </c>
      <c r="P40" s="329">
        <f t="shared" si="29"/>
        <v>5.6495161227389928E-2</v>
      </c>
      <c r="Q40" s="231">
        <f t="shared" si="0"/>
        <v>0.81882261294140335</v>
      </c>
      <c r="R40" s="231">
        <f t="shared" si="1"/>
        <v>0.12560495388651424</v>
      </c>
      <c r="S40" s="231">
        <f t="shared" si="2"/>
        <v>2.6698165066630274E-2</v>
      </c>
      <c r="T40" s="231">
        <f t="shared" si="3"/>
        <v>2.887426810545219E-2</v>
      </c>
      <c r="U40" s="134">
        <f t="shared" si="4"/>
        <v>0.96384854315691859</v>
      </c>
      <c r="V40" s="134">
        <f t="shared" si="5"/>
        <v>1.1441979167734739E-2</v>
      </c>
      <c r="W40" s="134">
        <f t="shared" si="6"/>
        <v>2.4709477675346689E-2</v>
      </c>
      <c r="X40" s="134">
        <f t="shared" si="7"/>
        <v>0</v>
      </c>
      <c r="Y40" s="20">
        <f t="shared" si="8"/>
        <v>0.9095739047245659</v>
      </c>
      <c r="Z40" s="20">
        <f t="shared" si="9"/>
        <v>0.13952593217828188</v>
      </c>
      <c r="AA40" s="20">
        <f t="shared" si="36"/>
        <v>7.6868161227389931E-2</v>
      </c>
      <c r="AB40" s="20">
        <f t="shared" si="11"/>
        <v>3.2074444906200456E-2</v>
      </c>
      <c r="AC40" s="16">
        <f t="shared" si="12"/>
        <v>0.78544090520518672</v>
      </c>
      <c r="AD40" s="16">
        <f t="shared" si="13"/>
        <v>0.12048429918720314</v>
      </c>
      <c r="AE40" s="16">
        <f t="shared" si="14"/>
        <v>6.6377671811266456E-2</v>
      </c>
      <c r="AF40" s="16">
        <f t="shared" si="15"/>
        <v>2.7697123796343637E-2</v>
      </c>
      <c r="AG40" s="253"/>
      <c r="AH40" s="253"/>
      <c r="AI40" s="254"/>
      <c r="AJ40" s="254"/>
      <c r="AK40" s="255"/>
      <c r="AL40" s="255"/>
      <c r="AM40" s="255"/>
      <c r="AN40" s="255"/>
      <c r="AO40">
        <v>1.9E-3</v>
      </c>
    </row>
    <row r="41" spans="1:41">
      <c r="A41" s="597" t="s">
        <v>178</v>
      </c>
      <c r="B41" s="232">
        <v>0.66099999999999992</v>
      </c>
      <c r="C41" s="232">
        <v>1.3000000000000001E-2</v>
      </c>
      <c r="D41" s="232">
        <v>1.4999999999999999E-2</v>
      </c>
      <c r="E41" s="232">
        <v>0.22</v>
      </c>
      <c r="F41" s="20">
        <v>2.82</v>
      </c>
      <c r="G41" s="116">
        <f>B41*F41*(IF(AND('Résultat - projection'!$B$209=2, 'Résultat - projection'!$B$210&lt;&gt;1),B84/(B84+0.5*D84),1))/F84</f>
        <v>1.6181560094326604</v>
      </c>
      <c r="H41" s="116">
        <f>C272/'Clés de répartition'!$G$243</f>
        <v>2.9209543983452435E-2</v>
      </c>
      <c r="I41" s="116">
        <f>M228+IF(AND('Résultat - projection'!$B$209=2, 'Résultat - projection'!$B$210&lt;&gt;1),B41*F41*0.5*D84/(B84+0.5*D84),0)</f>
        <v>1.61595E-2</v>
      </c>
      <c r="J41" s="116">
        <f t="shared" si="23"/>
        <v>0.62039999999999995</v>
      </c>
      <c r="K41" s="328">
        <f t="shared" si="32"/>
        <v>1.7978763639090389</v>
      </c>
      <c r="L41" s="328">
        <f t="shared" si="33"/>
        <v>0.28114377760673537</v>
      </c>
      <c r="M41" s="20">
        <f t="shared" si="34"/>
        <v>5.1512938451280563E-2</v>
      </c>
      <c r="N41" s="329">
        <f t="shared" si="35"/>
        <v>0.15339197344905547</v>
      </c>
      <c r="O41" s="116">
        <f t="shared" si="28"/>
        <v>0.28859423362328296</v>
      </c>
      <c r="P41" s="329">
        <f t="shared" si="29"/>
        <v>6.9110938451280565E-2</v>
      </c>
      <c r="Q41" s="231">
        <f t="shared" si="0"/>
        <v>0.78718711072411107</v>
      </c>
      <c r="R41" s="231">
        <f t="shared" si="1"/>
        <v>0.12309676150985045</v>
      </c>
      <c r="S41" s="231">
        <f t="shared" si="2"/>
        <v>2.2554566041574648E-2</v>
      </c>
      <c r="T41" s="231">
        <f t="shared" si="3"/>
        <v>6.7161561724463845E-2</v>
      </c>
      <c r="U41" s="134">
        <f t="shared" si="4"/>
        <v>0.9727271651903977</v>
      </c>
      <c r="V41" s="134">
        <f t="shared" si="5"/>
        <v>1.7558824210954629E-2</v>
      </c>
      <c r="W41" s="134">
        <f t="shared" si="6"/>
        <v>9.7140105986476388E-3</v>
      </c>
      <c r="X41" s="134">
        <f t="shared" si="7"/>
        <v>0</v>
      </c>
      <c r="Y41" s="20">
        <f t="shared" si="8"/>
        <v>1.7978763639090389</v>
      </c>
      <c r="Z41" s="20">
        <f t="shared" si="9"/>
        <v>0.28114377760673537</v>
      </c>
      <c r="AA41" s="20">
        <f t="shared" si="36"/>
        <v>8.5270438451280572E-2</v>
      </c>
      <c r="AB41" s="20">
        <f t="shared" si="11"/>
        <v>0.15339197344905547</v>
      </c>
      <c r="AC41" s="16">
        <f t="shared" si="12"/>
        <v>0.77572157639064443</v>
      </c>
      <c r="AD41" s="16">
        <f t="shared" si="13"/>
        <v>0.12130383308635088</v>
      </c>
      <c r="AE41" s="16">
        <f t="shared" si="14"/>
        <v>3.6791250089706032E-2</v>
      </c>
      <c r="AF41" s="16">
        <f t="shared" si="15"/>
        <v>6.6183340433298724E-2</v>
      </c>
      <c r="AG41" s="253"/>
      <c r="AH41" s="253"/>
      <c r="AI41" s="254"/>
      <c r="AJ41" s="254"/>
      <c r="AK41" s="255"/>
      <c r="AL41" s="255"/>
      <c r="AM41" s="255"/>
      <c r="AN41" s="255"/>
      <c r="AO41">
        <v>3.6600000000000001E-2</v>
      </c>
    </row>
    <row r="42" spans="1:41">
      <c r="A42" s="597" t="s">
        <v>179</v>
      </c>
      <c r="B42" s="232">
        <v>0.69400000000000006</v>
      </c>
      <c r="C42" s="232">
        <v>2.2000000000000002E-2</v>
      </c>
      <c r="D42" s="232">
        <v>1.3000000000000001E-2</v>
      </c>
      <c r="E42" s="232">
        <v>0.23300000000000001</v>
      </c>
      <c r="F42" s="20">
        <v>2.95</v>
      </c>
      <c r="G42" s="116">
        <f>B42*F42*(IF(AND('Résultat - projection'!$B$209=2, 'Résultat - projection'!$B$210&lt;&gt;1),B85/(B85+0.5*D85),1))/F85</f>
        <v>1.6520414323233295</v>
      </c>
      <c r="H42" s="116">
        <f>C273/'Clés de répartition'!$G$243</f>
        <v>1.7849178520522046E-2</v>
      </c>
      <c r="I42" s="116">
        <f>M229+IF(AND('Résultat - projection'!$B$209=2, 'Résultat - projection'!$B$210&lt;&gt;1),B42*F42*0.5*D85/(B85+0.5*D85),0)</f>
        <v>4.2521999999999997E-2</v>
      </c>
      <c r="J42" s="116">
        <f t="shared" si="23"/>
        <v>0.68735000000000013</v>
      </c>
      <c r="K42" s="328">
        <f t="shared" si="32"/>
        <v>1.8902690318844733</v>
      </c>
      <c r="L42" s="328">
        <f t="shared" si="33"/>
        <v>0.35052981583054521</v>
      </c>
      <c r="M42" s="20">
        <f t="shared" si="34"/>
        <v>7.7926496171475179E-2</v>
      </c>
      <c r="N42" s="329">
        <f t="shared" si="35"/>
        <v>8.103726695735694E-2</v>
      </c>
      <c r="O42" s="116">
        <f t="shared" si="28"/>
        <v>0.39758063731002319</v>
      </c>
      <c r="P42" s="329">
        <f t="shared" si="29"/>
        <v>5.3167496171475176E-2</v>
      </c>
      <c r="Q42" s="231">
        <f t="shared" si="0"/>
        <v>0.78769000872956374</v>
      </c>
      <c r="R42" s="231">
        <f t="shared" si="1"/>
        <v>0.14606853788228877</v>
      </c>
      <c r="S42" s="231">
        <f t="shared" si="2"/>
        <v>3.247258533796106E-2</v>
      </c>
      <c r="T42" s="231">
        <f t="shared" si="3"/>
        <v>3.376886805018646E-2</v>
      </c>
      <c r="U42" s="134">
        <f t="shared" si="4"/>
        <v>0.96474495799772697</v>
      </c>
      <c r="V42" s="134">
        <f t="shared" si="5"/>
        <v>1.0423409876505309E-2</v>
      </c>
      <c r="W42" s="134">
        <f t="shared" si="6"/>
        <v>2.4831632125767743E-2</v>
      </c>
      <c r="X42" s="134">
        <f t="shared" si="7"/>
        <v>0</v>
      </c>
      <c r="Y42" s="20">
        <f t="shared" si="8"/>
        <v>1.8902690318844733</v>
      </c>
      <c r="Z42" s="20">
        <f t="shared" si="9"/>
        <v>0.35052981583054521</v>
      </c>
      <c r="AA42" s="20">
        <f t="shared" si="36"/>
        <v>9.568949617147518E-2</v>
      </c>
      <c r="AB42" s="20">
        <f t="shared" si="11"/>
        <v>8.103726695735694E-2</v>
      </c>
      <c r="AC42" s="16">
        <f t="shared" si="12"/>
        <v>0.78190238126356992</v>
      </c>
      <c r="AD42" s="16">
        <f t="shared" si="13"/>
        <v>0.14499528536874148</v>
      </c>
      <c r="AE42" s="16">
        <f t="shared" si="14"/>
        <v>3.9581585296246037E-2</v>
      </c>
      <c r="AF42" s="16">
        <f t="shared" si="15"/>
        <v>3.3520748071442535E-2</v>
      </c>
      <c r="AG42" s="253"/>
      <c r="AH42" s="253"/>
      <c r="AI42" s="254"/>
      <c r="AJ42" s="254"/>
      <c r="AK42" s="255"/>
      <c r="AL42" s="255"/>
      <c r="AM42" s="255"/>
      <c r="AN42" s="254"/>
      <c r="AO42">
        <v>6.6000000000000003E-2</v>
      </c>
    </row>
    <row r="43" spans="1:41" ht="19" customHeight="1">
      <c r="B43" t="s">
        <v>728</v>
      </c>
      <c r="L43" s="116"/>
      <c r="T43" s="20"/>
    </row>
    <row r="44" spans="1:41" ht="19" customHeight="1">
      <c r="A44" s="63" t="s">
        <v>452</v>
      </c>
      <c r="B44" s="245">
        <v>0.2026</v>
      </c>
      <c r="C44" t="s">
        <v>453</v>
      </c>
      <c r="F44" t="s">
        <v>454</v>
      </c>
      <c r="G44" s="252">
        <f>B44/(1-B44)+1</f>
        <v>1.2540757461750689</v>
      </c>
      <c r="H44" t="s">
        <v>455</v>
      </c>
      <c r="L44" s="116"/>
      <c r="P44" s="437">
        <f>SUM(P24:P42)</f>
        <v>0.77730785248176759</v>
      </c>
      <c r="T44" s="20"/>
    </row>
    <row r="45" spans="1:41" ht="55" customHeight="1">
      <c r="A45" s="46" t="s">
        <v>69</v>
      </c>
      <c r="B45" s="693" t="s">
        <v>70</v>
      </c>
      <c r="C45" s="694"/>
      <c r="D45" s="694"/>
      <c r="E45" s="694"/>
      <c r="F45" s="694"/>
      <c r="L45" s="116"/>
      <c r="T45" s="20"/>
    </row>
    <row r="46" spans="1:41" ht="19" customHeight="1">
      <c r="A46" s="26" t="s">
        <v>68</v>
      </c>
      <c r="B46" s="80"/>
      <c r="C46" s="80"/>
      <c r="D46" s="80"/>
      <c r="E46" s="80"/>
      <c r="F46" s="80"/>
      <c r="L46" s="116"/>
      <c r="T46" s="20"/>
    </row>
    <row r="47" spans="1:41" ht="19" customHeight="1">
      <c r="L47" s="116"/>
      <c r="T47" s="20"/>
    </row>
    <row r="48" spans="1:41" ht="19" customHeight="1">
      <c r="B48" s="647" t="s">
        <v>420</v>
      </c>
      <c r="C48" s="647"/>
      <c r="D48" s="647"/>
      <c r="E48" s="647"/>
      <c r="G48" s="695" t="s">
        <v>421</v>
      </c>
      <c r="H48" s="647"/>
      <c r="I48" s="647"/>
      <c r="J48" s="647"/>
      <c r="K48" s="647"/>
      <c r="L48" s="116"/>
      <c r="R48" s="647" t="s">
        <v>1138</v>
      </c>
      <c r="S48" s="647"/>
      <c r="T48" s="647"/>
      <c r="U48" s="647"/>
    </row>
    <row r="49" spans="1:22" ht="17">
      <c r="A49" s="152" t="s">
        <v>67</v>
      </c>
      <c r="B49" s="145" t="s">
        <v>10</v>
      </c>
      <c r="C49" s="146" t="s">
        <v>42</v>
      </c>
      <c r="D49" s="147" t="s">
        <v>12</v>
      </c>
      <c r="E49" s="148" t="s">
        <v>13</v>
      </c>
      <c r="F49" s="580" t="s">
        <v>1068</v>
      </c>
      <c r="G49" s="462" t="s">
        <v>10</v>
      </c>
      <c r="H49" s="261" t="s">
        <v>42</v>
      </c>
      <c r="I49" s="147" t="s">
        <v>12</v>
      </c>
      <c r="J49" s="148" t="s">
        <v>13</v>
      </c>
      <c r="K49" s="580" t="s">
        <v>1068</v>
      </c>
      <c r="M49" s="8" t="s">
        <v>662</v>
      </c>
      <c r="R49" s="145" t="s">
        <v>10</v>
      </c>
      <c r="S49" s="261" t="s">
        <v>42</v>
      </c>
      <c r="T49" s="147" t="s">
        <v>12</v>
      </c>
      <c r="U49" s="148" t="s">
        <v>13</v>
      </c>
    </row>
    <row r="50" spans="1:22" ht="17">
      <c r="A50" s="298" t="s">
        <v>202</v>
      </c>
      <c r="B50" s="149">
        <f>IF('Résultat - projection'!$B$210=2,'Résultat - projection'!B9,IF('Résultat - projection'!$B$210=3,'Résultat - projection'!B48,IF('Résultat - projection'!$B$210=4,'Résultat - projection'!B87,IF('Résultat - projection'!$B$210=5,'Résultat - projection'!B131,IF('Résultat - projection'!$B$210=6,'Résultat - projection'!B169,'Clés de répartition'!G50)))))</f>
        <v>0.45831435649576474</v>
      </c>
      <c r="C50" s="149">
        <f>IF('Résultat - projection'!$B$210=2,'Résultat - projection'!C9,IF('Résultat - projection'!$B$210=3,'Résultat - projection'!C48,IF('Résultat - projection'!$B$210=4,'Résultat - projection'!C87,IF('Résultat - projection'!$B$210=5,'Résultat - projection'!C131,IF('Résultat - projection'!$B$210=6,'Résultat - projection'!C169,'Clés de répartition'!H50)))))</f>
        <v>0.38611849208153137</v>
      </c>
      <c r="D50" s="149">
        <f>IF('Résultat - projection'!$B$210=2,'Résultat - projection'!D9,IF('Résultat - projection'!$B$210=3,'Résultat - projection'!D48,IF('Résultat - projection'!$B$210=4,'Résultat - projection'!D87,IF('Résultat - projection'!$B$210=5,'Résultat - projection'!D131,IF('Résultat - projection'!$B$210=6,'Résultat - projection'!D169,'Clés de répartition'!I50)))))</f>
        <v>3.4582574902500392E-2</v>
      </c>
      <c r="E50" s="149">
        <f>IF('Résultat - projection'!$B$210=2,'Résultat - projection'!E9,IF('Résultat - projection'!$B$210=3,'Résultat - projection'!E48,IF('Résultat - projection'!$B$210=4,'Résultat - projection'!E87,IF('Résultat - projection'!$B$210=5,'Résultat - projection'!E131,IF('Résultat - projection'!$B$210=6,'Résultat - projection'!E169,'Clés de répartition'!J50)))))</f>
        <v>0.12135071681441655</v>
      </c>
      <c r="F50" s="608">
        <f>IF('Résultat - projection'!$B$210=2,'Résultat - projection'!F9,IF('Résultat - projection'!$B$210=3,'Résultat - projection'!F48,IF('Résultat - projection'!$B$210=4,'Résultat - projection'!F87,IF('Résultat - projection'!$B$210=5,'Résultat - projection'!F131,IF('Résultat - projection'!$B$210=6,'Résultat - projection'!F169,'Clés de répartition'!K50)))))</f>
        <v>1.247611535802376</v>
      </c>
      <c r="G50" s="599" cm="1">
        <f t="array" ref="G50">SUM(G51:G65*'Clés de répartition'!$D$135:$D$149)/'Clés de répartition'!$D$134</f>
        <v>0.45831435649576474</v>
      </c>
      <c r="H50" s="600" cm="1">
        <f t="array" ref="H50">SUM(H51:H65*'Clés de répartition'!$D$135:$D$149)/'Clés de répartition'!$D$134</f>
        <v>0.38611849208153137</v>
      </c>
      <c r="I50" s="600" cm="1">
        <f t="array" ref="I50">SUM(I51:I65*'Clés de répartition'!$D$135:$D$149)/'Clés de répartition'!$D$134</f>
        <v>3.4582574902500392E-2</v>
      </c>
      <c r="J50" s="600" cm="1">
        <f t="array" ref="J50">SUM(J51:J65*'Clés de répartition'!$D$135:$D$149)/'Clés de répartition'!$D$134</f>
        <v>0.12135071681441655</v>
      </c>
      <c r="K50" s="604" cm="1">
        <f t="array" ref="K50">SUM(K51:K65*'Clés de répartition'!$D$135:$D$149)/'Clés de répartition'!$D$134</f>
        <v>1.247611535802376</v>
      </c>
      <c r="M50" s="147" t="s">
        <v>12</v>
      </c>
      <c r="N50" t="s">
        <v>667</v>
      </c>
      <c r="R50" s="600" cm="1">
        <f t="array" ref="R50">SUM(R51:R65*'Clés de répartition'!$D$135:$D$149)/'Clés de répartition'!$D$134</f>
        <v>0.55940523297650002</v>
      </c>
      <c r="S50" s="600" cm="1">
        <f t="array" ref="S50">SUM(S51:S65*'Clés de répartition'!$D$135:$D$149)/'Clés de répartition'!$D$134</f>
        <v>0.40032427535244752</v>
      </c>
      <c r="T50" s="600" cm="1">
        <f t="array" ref="T50">SUM(T51:T65*'Clés de répartition'!$D$135:$D$149)/'Clés de répartition'!$D$134</f>
        <v>2.2880433344134803E-2</v>
      </c>
      <c r="U50" s="600" cm="1">
        <f t="array" ref="U50">SUM(U51:U65*'Clés de répartition'!$D$135:$D$149)/'Clés de répartition'!$D$134</f>
        <v>1.775619862113053E-2</v>
      </c>
      <c r="V50" s="615"/>
    </row>
    <row r="51" spans="1:22">
      <c r="A51" s="347" t="e" vm="1">
        <v>#VALUE!</v>
      </c>
      <c r="B51" s="149">
        <f>IF('Résultat - projection'!$B$210=2,'Résultat - projection'!B10,IF('Résultat - projection'!$B$210=3,'Résultat - projection'!B49,IF('Résultat - projection'!$B$210=4,'Résultat - projection'!B88,IF('Résultat - projection'!$B$210=5,'Résultat - projection'!B132,IF('Résultat - projection'!$B$210=6,'Résultat - projection'!B170,'Clés de répartition'!G51)))))</f>
        <v>0.59984947450474402</v>
      </c>
      <c r="C51" s="149">
        <f>IF('Résultat - projection'!$B$210=2,'Résultat - projection'!C10,IF('Résultat - projection'!$B$210=3,'Résultat - projection'!C49,IF('Résultat - projection'!$B$210=4,'Résultat - projection'!C88,IF('Résultat - projection'!$B$210=5,'Résultat - projection'!C132,IF('Résultat - projection'!$B$210=6,'Résultat - projection'!C170,'Clés de répartition'!H51)))))</f>
        <v>0.26575276187404201</v>
      </c>
      <c r="D51" s="149">
        <f>IF('Résultat - projection'!$B$210=2,'Résultat - projection'!D10,IF('Résultat - projection'!$B$210=3,'Résultat - projection'!D49,IF('Résultat - projection'!$B$210=4,'Résultat - projection'!D88,IF('Résultat - projection'!$B$210=5,'Résultat - projection'!D132,IF('Résultat - projection'!$B$210=6,'Résultat - projection'!D170,'Clés de répartition'!I51)))))</f>
        <v>1.7627610676558301E-2</v>
      </c>
      <c r="E51" s="149">
        <f>IF('Résultat - projection'!$B$210=2,'Résultat - projection'!E10,IF('Résultat - projection'!$B$210=3,'Résultat - projection'!E49,IF('Résultat - projection'!$B$210=4,'Résultat - projection'!E88,IF('Résultat - projection'!$B$210=5,'Résultat - projection'!E132,IF('Résultat - projection'!$B$210=6,'Résultat - projection'!E170,'Clés de répartition'!J51)))))</f>
        <v>0.116770152944655</v>
      </c>
      <c r="F51" s="608">
        <f>IF('Résultat - projection'!$B$210=2,'Résultat - projection'!F10,IF('Résultat - projection'!$B$210=3,'Résultat - projection'!F49,IF('Résultat - projection'!$B$210=4,'Résultat - projection'!F88,IF('Résultat - projection'!$B$210=5,'Résultat - projection'!F132,IF('Résultat - projection'!$B$210=6,'Résultat - projection'!F170,'Clés de répartition'!K51)))))</f>
        <v>1.3695961703694599</v>
      </c>
      <c r="G51" s="603">
        <v>0.59984947450474402</v>
      </c>
      <c r="H51" s="601">
        <v>0.26575276187404201</v>
      </c>
      <c r="I51" s="601">
        <v>1.7627610676558301E-2</v>
      </c>
      <c r="J51" s="601">
        <v>0.116770152944655</v>
      </c>
      <c r="K51" s="249">
        <v>1.3695961703694599</v>
      </c>
      <c r="M51">
        <v>2018</v>
      </c>
      <c r="N51" s="77">
        <v>948086</v>
      </c>
      <c r="R51" s="635" cm="1">
        <f t="array" ref="R51">G51*O94/SUM($G51:$J51*$O94:$R94)</f>
        <v>0.58581044311532671</v>
      </c>
      <c r="S51" s="635" cm="1">
        <f t="array" ref="S51">H51*P94/SUM($G51:$J51*$O94:$R94)</f>
        <v>0.40254081091186134</v>
      </c>
      <c r="T51" s="635" cm="1">
        <f t="array" ref="T51">I51*Q94/SUM($G51:$J51*$O94:$R94)</f>
        <v>4.0442876994033431E-3</v>
      </c>
      <c r="U51" s="635" cm="1">
        <f t="array" ref="U51">J51*R94/SUM($G51:$J51*$O94:$R94)</f>
        <v>7.6044582734086184E-3</v>
      </c>
      <c r="V51" s="615"/>
    </row>
    <row r="52" spans="1:22">
      <c r="A52" s="347" t="e" vm="2">
        <v>#VALUE!</v>
      </c>
      <c r="B52" s="149">
        <f>IF('Résultat - projection'!$B$210=2,'Résultat - projection'!B11,IF('Résultat - projection'!$B$210=3,'Résultat - projection'!B50,IF('Résultat - projection'!$B$210=4,'Résultat - projection'!B89,IF('Résultat - projection'!$B$210=5,'Résultat - projection'!B133,IF('Résultat - projection'!$B$210=6,'Résultat - projection'!B171,'Clés de répartition'!G52)))))</f>
        <v>0.656532389578242</v>
      </c>
      <c r="C52" s="149">
        <f>IF('Résultat - projection'!$B$210=2,'Résultat - projection'!C11,IF('Résultat - projection'!$B$210=3,'Résultat - projection'!C50,IF('Résultat - projection'!$B$210=4,'Résultat - projection'!C89,IF('Résultat - projection'!$B$210=5,'Résultat - projection'!C133,IF('Résultat - projection'!$B$210=6,'Résultat - projection'!C171,'Clés de répartition'!H52)))))</f>
        <v>0.311597775532931</v>
      </c>
      <c r="D52" s="149">
        <f>IF('Résultat - projection'!$B$210=2,'Résultat - projection'!D11,IF('Résultat - projection'!$B$210=3,'Résultat - projection'!D50,IF('Résultat - projection'!$B$210=4,'Résultat - projection'!D89,IF('Résultat - projection'!$B$210=5,'Résultat - projection'!D133,IF('Résultat - projection'!$B$210=6,'Résultat - projection'!D171,'Clés de répartition'!I52)))))</f>
        <v>7.9874985778166999E-3</v>
      </c>
      <c r="E52" s="149">
        <f>IF('Résultat - projection'!$B$210=2,'Résultat - projection'!E11,IF('Résultat - projection'!$B$210=3,'Résultat - projection'!E50,IF('Résultat - projection'!$B$210=4,'Résultat - projection'!E89,IF('Résultat - projection'!$B$210=5,'Résultat - projection'!E133,IF('Résultat - projection'!$B$210=6,'Résultat - projection'!E171,'Clés de répartition'!J52)))))</f>
        <v>2.38823363110117E-2</v>
      </c>
      <c r="F52" s="608">
        <f>IF('Résultat - projection'!$B$210=2,'Résultat - projection'!F11,IF('Résultat - projection'!$B$210=3,'Résultat - projection'!F50,IF('Résultat - projection'!$B$210=4,'Résultat - projection'!F89,IF('Résultat - projection'!$B$210=5,'Résultat - projection'!F133,IF('Résultat - projection'!$B$210=6,'Résultat - projection'!F171,'Clés de répartition'!K52)))))</f>
        <v>1.3209985952376799</v>
      </c>
      <c r="G52" s="603">
        <v>0.656532389578242</v>
      </c>
      <c r="H52" s="601">
        <v>0.311597775532931</v>
      </c>
      <c r="I52" s="601">
        <v>7.9874985778166999E-3</v>
      </c>
      <c r="J52" s="601">
        <v>2.38823363110117E-2</v>
      </c>
      <c r="K52" s="249">
        <v>1.3209985952376799</v>
      </c>
      <c r="M52">
        <v>2023</v>
      </c>
      <c r="N52" s="77">
        <v>1164652</v>
      </c>
      <c r="R52" s="635" cm="1">
        <f t="array" ref="R52">G52*O95/SUM($G52:$J52*$O95:$R95)</f>
        <v>0.67300890460708562</v>
      </c>
      <c r="S52" s="635" cm="1">
        <f t="array" ref="S52">H52*P95/SUM($G52:$J52*$O95:$R95)</f>
        <v>0.32295112721220487</v>
      </c>
      <c r="T52" s="635" cm="1">
        <f t="array" ref="T52">I52*Q95/SUM($G52:$J52*$O95:$R95)</f>
        <v>2.7613914159086823E-3</v>
      </c>
      <c r="U52" s="635" cm="1">
        <f t="array" ref="U52">J52*R95/SUM($G52:$J52*$O95:$R95)</f>
        <v>1.2785767648008921E-3</v>
      </c>
      <c r="V52" s="615"/>
    </row>
    <row r="53" spans="1:22">
      <c r="A53" s="347" t="e" vm="3">
        <v>#VALUE!</v>
      </c>
      <c r="B53" s="149">
        <f>IF('Résultat - projection'!$B$210=2,'Résultat - projection'!B12,IF('Résultat - projection'!$B$210=3,'Résultat - projection'!B51,IF('Résultat - projection'!$B$210=4,'Résultat - projection'!B90,IF('Résultat - projection'!$B$210=5,'Résultat - projection'!B134,IF('Résultat - projection'!$B$210=6,'Résultat - projection'!B172,'Clés de répartition'!G53)))))</f>
        <v>0.59063697844685104</v>
      </c>
      <c r="C53" s="149">
        <f>IF('Résultat - projection'!$B$210=2,'Résultat - projection'!C12,IF('Résultat - projection'!$B$210=3,'Résultat - projection'!C51,IF('Résultat - projection'!$B$210=4,'Résultat - projection'!C90,IF('Résultat - projection'!$B$210=5,'Résultat - projection'!C134,IF('Résultat - projection'!$B$210=6,'Résultat - projection'!C172,'Clés de répartition'!H53)))))</f>
        <v>0.36156841122126399</v>
      </c>
      <c r="D53" s="149">
        <f>IF('Résultat - projection'!$B$210=2,'Résultat - projection'!D12,IF('Résultat - projection'!$B$210=3,'Résultat - projection'!D51,IF('Résultat - projection'!$B$210=4,'Résultat - projection'!D90,IF('Résultat - projection'!$B$210=5,'Résultat - projection'!D134,IF('Résultat - projection'!$B$210=6,'Résultat - projection'!D172,'Clés de répartition'!I53)))))</f>
        <v>1.00384947065942E-2</v>
      </c>
      <c r="E53" s="149">
        <f>IF('Résultat - projection'!$B$210=2,'Résultat - projection'!E12,IF('Résultat - projection'!$B$210=3,'Résultat - projection'!E51,IF('Résultat - projection'!$B$210=4,'Résultat - projection'!E90,IF('Résultat - projection'!$B$210=5,'Résultat - projection'!E134,IF('Résultat - projection'!$B$210=6,'Résultat - projection'!E172,'Clés de répartition'!J53)))))</f>
        <v>3.7756115625290902E-2</v>
      </c>
      <c r="F53" s="608">
        <f>IF('Résultat - projection'!$B$210=2,'Résultat - projection'!F12,IF('Résultat - projection'!$B$210=3,'Résultat - projection'!F51,IF('Résultat - projection'!$B$210=4,'Résultat - projection'!F90,IF('Résultat - projection'!$B$210=5,'Résultat - projection'!F134,IF('Résultat - projection'!$B$210=6,'Résultat - projection'!F172,'Clés de répartition'!K53)))))</f>
        <v>1.3581186217214001</v>
      </c>
      <c r="G53" s="603">
        <v>0.59063697844685104</v>
      </c>
      <c r="H53" s="601">
        <v>0.36156841122126399</v>
      </c>
      <c r="I53" s="601">
        <v>1.00384947065942E-2</v>
      </c>
      <c r="J53" s="601">
        <v>3.7756115625290902E-2</v>
      </c>
      <c r="K53" s="249">
        <v>1.3581186217214001</v>
      </c>
      <c r="N53" s="16">
        <f>(N52-N51)/N51</f>
        <v>0.22842442563227386</v>
      </c>
      <c r="O53" t="s">
        <v>664</v>
      </c>
      <c r="R53" s="635" cm="1">
        <f t="array" ref="R53">G53*O96/SUM($G53:$J53*$O96:$R96)</f>
        <v>0.61483856186558861</v>
      </c>
      <c r="S53" s="635" cm="1">
        <f t="array" ref="S53">H53*P96/SUM($G53:$J53*$O96:$R96)</f>
        <v>0.37466481222492232</v>
      </c>
      <c r="T53" s="635" cm="1">
        <f t="array" ref="T53">I53*Q96/SUM($G53:$J53*$O96:$R96)</f>
        <v>6.1240331315656994E-3</v>
      </c>
      <c r="U53" s="635" cm="1">
        <f t="array" ref="U53">J53*R96/SUM($G53:$J53*$O96:$R96)</f>
        <v>4.3725927779234086E-3</v>
      </c>
      <c r="V53" s="615"/>
    </row>
    <row r="54" spans="1:22">
      <c r="A54" s="347" t="e" vm="4">
        <v>#VALUE!</v>
      </c>
      <c r="B54" s="149">
        <f>IF('Résultat - projection'!$B$210=2,'Résultat - projection'!B13,IF('Résultat - projection'!$B$210=3,'Résultat - projection'!B52,IF('Résultat - projection'!$B$210=4,'Résultat - projection'!B91,IF('Résultat - projection'!$B$210=5,'Résultat - projection'!B135,IF('Résultat - projection'!$B$210=6,'Résultat - projection'!B173,'Clés de répartition'!G54)))))</f>
        <v>0.73510592155684795</v>
      </c>
      <c r="C54" s="149">
        <f>IF('Résultat - projection'!$B$210=2,'Résultat - projection'!C13,IF('Résultat - projection'!$B$210=3,'Résultat - projection'!C52,IF('Résultat - projection'!$B$210=4,'Résultat - projection'!C91,IF('Résultat - projection'!$B$210=5,'Résultat - projection'!C135,IF('Résultat - projection'!$B$210=6,'Résultat - projection'!C173,'Clés de répartition'!H54)))))</f>
        <v>0.237784841398401</v>
      </c>
      <c r="D54" s="149">
        <f>IF('Résultat - projection'!$B$210=2,'Résultat - projection'!D13,IF('Résultat - projection'!$B$210=3,'Résultat - projection'!D52,IF('Résultat - projection'!$B$210=4,'Résultat - projection'!D91,IF('Résultat - projection'!$B$210=5,'Résultat - projection'!D135,IF('Résultat - projection'!$B$210=6,'Résultat - projection'!D173,'Clés de répartition'!I54)))))</f>
        <v>3.4811219319103798E-3</v>
      </c>
      <c r="E54" s="149">
        <f>IF('Résultat - projection'!$B$210=2,'Résultat - projection'!E13,IF('Résultat - projection'!$B$210=3,'Résultat - projection'!E52,IF('Résultat - projection'!$B$210=4,'Résultat - projection'!E91,IF('Résultat - projection'!$B$210=5,'Résultat - projection'!E135,IF('Résultat - projection'!$B$210=6,'Résultat - projection'!E173,'Clés de répartition'!J54)))))</f>
        <v>2.3628115112841699E-2</v>
      </c>
      <c r="F54" s="608">
        <f>IF('Résultat - projection'!$B$210=2,'Résultat - projection'!F13,IF('Résultat - projection'!$B$210=3,'Résultat - projection'!F52,IF('Résultat - projection'!$B$210=4,'Résultat - projection'!F91,IF('Résultat - projection'!$B$210=5,'Résultat - projection'!F135,IF('Résultat - projection'!$B$210=6,'Résultat - projection'!F173,'Clés de répartition'!K54)))))</f>
        <v>1.30606828243958</v>
      </c>
      <c r="G54" s="603">
        <v>0.73510592155684795</v>
      </c>
      <c r="H54" s="601">
        <v>0.237784841398401</v>
      </c>
      <c r="I54" s="601">
        <v>3.4811219319103798E-3</v>
      </c>
      <c r="J54" s="601">
        <v>2.3628115112841699E-2</v>
      </c>
      <c r="K54" s="249">
        <v>1.30606828243958</v>
      </c>
      <c r="M54" t="s">
        <v>663</v>
      </c>
      <c r="N54" s="170">
        <f>I50*(N53+1)</f>
        <v>4.248207971148913E-2</v>
      </c>
      <c r="R54" s="635" cm="1">
        <f t="array" ref="R54">G54*O97/SUM($G54:$J54*$O97:$R97)</f>
        <v>0.73723630296223353</v>
      </c>
      <c r="S54" s="635" cm="1">
        <f t="array" ref="S54">H54*P97/SUM($G54:$J54*$O97:$R97)</f>
        <v>0.25796426224377617</v>
      </c>
      <c r="T54" s="635" cm="1">
        <f t="array" ref="T54">I54*Q97/SUM($G54:$J54*$O97:$R97)</f>
        <v>2.9187838539335787E-3</v>
      </c>
      <c r="U54" s="635" cm="1">
        <f t="array" ref="U54">J54*R97/SUM($G54:$J54*$O97:$R97)</f>
        <v>1.880650940056751E-3</v>
      </c>
      <c r="V54" s="615"/>
    </row>
    <row r="55" spans="1:22">
      <c r="A55" s="347" t="e" vm="5">
        <v>#VALUE!</v>
      </c>
      <c r="B55" s="149">
        <f>IF('Résultat - projection'!$B$210=2,'Résultat - projection'!B14,IF('Résultat - projection'!$B$210=3,'Résultat - projection'!B53,IF('Résultat - projection'!$B$210=4,'Résultat - projection'!B92,IF('Résultat - projection'!$B$210=5,'Résultat - projection'!B136,IF('Résultat - projection'!$B$210=6,'Résultat - projection'!B174,'Clés de répartition'!G55)))))</f>
        <v>0.68910351975472495</v>
      </c>
      <c r="C55" s="149">
        <f>IF('Résultat - projection'!$B$210=2,'Résultat - projection'!C14,IF('Résultat - projection'!$B$210=3,'Résultat - projection'!C53,IF('Résultat - projection'!$B$210=4,'Résultat - projection'!C92,IF('Résultat - projection'!$B$210=5,'Résultat - projection'!C136,IF('Résultat - projection'!$B$210=6,'Résultat - projection'!C174,'Clés de répartition'!H55)))))</f>
        <v>0.25579264683001401</v>
      </c>
      <c r="D55" s="149">
        <f>IF('Résultat - projection'!$B$210=2,'Résultat - projection'!D14,IF('Résultat - projection'!$B$210=3,'Résultat - projection'!D53,IF('Résultat - projection'!$B$210=4,'Résultat - projection'!D92,IF('Résultat - projection'!$B$210=5,'Résultat - projection'!D136,IF('Résultat - projection'!$B$210=6,'Résultat - projection'!D174,'Clés de répartition'!I55)))))</f>
        <v>1.4098607186049701E-2</v>
      </c>
      <c r="E55" s="149">
        <f>IF('Résultat - projection'!$B$210=2,'Résultat - projection'!E14,IF('Résultat - projection'!$B$210=3,'Résultat - projection'!E53,IF('Résultat - projection'!$B$210=4,'Résultat - projection'!E92,IF('Résultat - projection'!$B$210=5,'Résultat - projection'!E136,IF('Résultat - projection'!$B$210=6,'Résultat - projection'!E174,'Clés de répartition'!J55)))))</f>
        <v>4.1005226229211399E-2</v>
      </c>
      <c r="F55" s="608">
        <f>IF('Résultat - projection'!$B$210=2,'Résultat - projection'!F14,IF('Résultat - projection'!$B$210=3,'Résultat - projection'!F53,IF('Résultat - projection'!$B$210=4,'Résultat - projection'!F92,IF('Résultat - projection'!$B$210=5,'Résultat - projection'!F136,IF('Résultat - projection'!$B$210=6,'Résultat - projection'!F174,'Clés de répartition'!K55)))))</f>
        <v>1.21406463985462</v>
      </c>
      <c r="G55" s="603">
        <v>0.68910351975472495</v>
      </c>
      <c r="H55" s="601">
        <v>0.25579264683001401</v>
      </c>
      <c r="I55" s="601">
        <v>1.4098607186049701E-2</v>
      </c>
      <c r="J55" s="601">
        <v>4.1005226229211399E-2</v>
      </c>
      <c r="K55" s="249">
        <v>1.21406463985462</v>
      </c>
      <c r="M55" s="145" t="s">
        <v>10</v>
      </c>
      <c r="N55" t="s">
        <v>666</v>
      </c>
      <c r="R55" s="635" cm="1">
        <f t="array" ref="R55">G55*O98/SUM($G55:$J55*$O98:$R98)</f>
        <v>0.68227839485849084</v>
      </c>
      <c r="S55" s="635" cm="1">
        <f t="array" ref="S55">H55*P98/SUM($G55:$J55*$O98:$R98)</f>
        <v>0.30526149316950241</v>
      </c>
      <c r="T55" s="635" cm="1">
        <f t="array" ref="T55">I55*Q98/SUM($G55:$J55*$O98:$R98)</f>
        <v>7.551941198664887E-3</v>
      </c>
      <c r="U55" s="635" cm="1">
        <f t="array" ref="U55">J55*R98/SUM($G55:$J55*$O98:$R98)</f>
        <v>4.9081707733418982E-3</v>
      </c>
      <c r="V55" s="615"/>
    </row>
    <row r="56" spans="1:22">
      <c r="A56" s="347" t="e" vm="6">
        <v>#VALUE!</v>
      </c>
      <c r="B56" s="149">
        <f>IF('Résultat - projection'!$B$210=2,'Résultat - projection'!B15,IF('Résultat - projection'!$B$210=3,'Résultat - projection'!B54,IF('Résultat - projection'!$B$210=4,'Résultat - projection'!B93,IF('Résultat - projection'!$B$210=5,'Résultat - projection'!B137,IF('Résultat - projection'!$B$210=6,'Résultat - projection'!B175,'Clés de répartition'!G56)))))</f>
        <v>0.46375831466918099</v>
      </c>
      <c r="C56" s="149">
        <f>IF('Résultat - projection'!$B$210=2,'Résultat - projection'!C15,IF('Résultat - projection'!$B$210=3,'Résultat - projection'!C54,IF('Résultat - projection'!$B$210=4,'Résultat - projection'!C93,IF('Résultat - projection'!$B$210=5,'Résultat - projection'!C137,IF('Résultat - projection'!$B$210=6,'Résultat - projection'!C175,'Clés de répartition'!H56)))))</f>
        <v>0.45817557213343801</v>
      </c>
      <c r="D56" s="149">
        <f>IF('Résultat - projection'!$B$210=2,'Résultat - projection'!D15,IF('Résultat - projection'!$B$210=3,'Résultat - projection'!D54,IF('Résultat - projection'!$B$210=4,'Résultat - projection'!D93,IF('Résultat - projection'!$B$210=5,'Résultat - projection'!D137,IF('Résultat - projection'!$B$210=6,'Résultat - projection'!D175,'Clés de répartition'!I56)))))</f>
        <v>1.1337251401916401E-2</v>
      </c>
      <c r="E56" s="149">
        <f>IF('Résultat - projection'!$B$210=2,'Résultat - projection'!E15,IF('Résultat - projection'!$B$210=3,'Résultat - projection'!E54,IF('Résultat - projection'!$B$210=4,'Résultat - projection'!E93,IF('Résultat - projection'!$B$210=5,'Résultat - projection'!E137,IF('Résultat - projection'!$B$210=6,'Résultat - projection'!E175,'Clés de répartition'!J56)))))</f>
        <v>6.6728861795463307E-2</v>
      </c>
      <c r="F56" s="608">
        <f>IF('Résultat - projection'!$B$210=2,'Résultat - projection'!F15,IF('Résultat - projection'!$B$210=3,'Résultat - projection'!F54,IF('Résultat - projection'!$B$210=4,'Résultat - projection'!F93,IF('Résultat - projection'!$B$210=5,'Résultat - projection'!F137,IF('Résultat - projection'!$B$210=6,'Résultat - projection'!F175,'Clés de répartition'!K56)))))</f>
        <v>1.35011687557849</v>
      </c>
      <c r="G56" s="603">
        <v>0.46375831466918099</v>
      </c>
      <c r="H56" s="601">
        <v>0.45817557213343801</v>
      </c>
      <c r="I56" s="601">
        <v>1.1337251401916401E-2</v>
      </c>
      <c r="J56" s="601">
        <v>6.6728861795463307E-2</v>
      </c>
      <c r="K56" s="249">
        <v>1.35011687557849</v>
      </c>
      <c r="M56">
        <v>2018</v>
      </c>
      <c r="N56">
        <v>773016</v>
      </c>
      <c r="R56" s="635" cm="1">
        <f t="array" ref="R56">G56*O99/SUM($G56:$J56*$O99:$R99)</f>
        <v>0.49635339664253925</v>
      </c>
      <c r="S56" s="635" cm="1">
        <f t="array" ref="S56">H56*P99/SUM($G56:$J56*$O99:$R99)</f>
        <v>0.48217690955707165</v>
      </c>
      <c r="T56" s="635" cm="1">
        <f t="array" ref="T56">I56*Q99/SUM($G56:$J56*$O99:$R99)</f>
        <v>1.1943597997951177E-2</v>
      </c>
      <c r="U56" s="635" cm="1">
        <f t="array" ref="U56">J56*R99/SUM($G56:$J56*$O99:$R99)</f>
        <v>9.5260958024378159E-3</v>
      </c>
      <c r="V56" s="615"/>
    </row>
    <row r="57" spans="1:22">
      <c r="A57" s="347" t="e" vm="7">
        <v>#VALUE!</v>
      </c>
      <c r="B57" s="149">
        <f>IF('Résultat - projection'!$B$210=2,'Résultat - projection'!B16,IF('Résultat - projection'!$B$210=3,'Résultat - projection'!B55,IF('Résultat - projection'!$B$210=4,'Résultat - projection'!B94,IF('Résultat - projection'!$B$210=5,'Résultat - projection'!B138,IF('Résultat - projection'!$B$210=6,'Résultat - projection'!B176,'Clés de répartition'!G57)))))</f>
        <v>0.73506070603567197</v>
      </c>
      <c r="C57" s="149">
        <f>IF('Résultat - projection'!$B$210=2,'Résultat - projection'!C16,IF('Résultat - projection'!$B$210=3,'Résultat - projection'!C55,IF('Résultat - projection'!$B$210=4,'Résultat - projection'!C94,IF('Résultat - projection'!$B$210=5,'Résultat - projection'!C138,IF('Résultat - projection'!$B$210=6,'Résultat - projection'!C176,'Clés de répartition'!H57)))))</f>
        <v>0.25149067556299698</v>
      </c>
      <c r="D57" s="149">
        <f>IF('Résultat - projection'!$B$210=2,'Résultat - projection'!D16,IF('Résultat - projection'!$B$210=3,'Résultat - projection'!D55,IF('Résultat - projection'!$B$210=4,'Résultat - projection'!D94,IF('Résultat - projection'!$B$210=5,'Résultat - projection'!D138,IF('Résultat - projection'!$B$210=6,'Résultat - projection'!D176,'Clés de répartition'!I57)))))</f>
        <v>1.41405303370635E-3</v>
      </c>
      <c r="E57" s="149">
        <f>IF('Résultat - projection'!$B$210=2,'Résultat - projection'!E16,IF('Résultat - projection'!$B$210=3,'Résultat - projection'!E55,IF('Résultat - projection'!$B$210=4,'Résultat - projection'!E94,IF('Résultat - projection'!$B$210=5,'Résultat - projection'!E138,IF('Résultat - projection'!$B$210=6,'Résultat - projection'!E176,'Clés de répartition'!J57)))))</f>
        <v>1.20345653676244E-2</v>
      </c>
      <c r="F57" s="608">
        <f>IF('Résultat - projection'!$B$210=2,'Résultat - projection'!F16,IF('Résultat - projection'!$B$210=3,'Résultat - projection'!F55,IF('Résultat - projection'!$B$210=4,'Résultat - projection'!F94,IF('Résultat - projection'!$B$210=5,'Résultat - projection'!F138,IF('Résultat - projection'!$B$210=6,'Résultat - projection'!F176,'Clés de répartition'!K57)))))</f>
        <v>1.2564026753164701</v>
      </c>
      <c r="G57" s="603">
        <v>0.73506070603567197</v>
      </c>
      <c r="H57" s="601">
        <v>0.25149067556299698</v>
      </c>
      <c r="I57" s="601">
        <v>1.41405303370635E-3</v>
      </c>
      <c r="J57" s="601">
        <v>1.20345653676244E-2</v>
      </c>
      <c r="K57" s="249">
        <v>1.2564026753164701</v>
      </c>
      <c r="M57">
        <v>2021</v>
      </c>
      <c r="N57">
        <v>793712</v>
      </c>
      <c r="R57" s="635" cm="1">
        <f t="array" ref="R57">G57*O100/SUM($G57:$J57*$O100:$R100)</f>
        <v>0.75711907538193191</v>
      </c>
      <c r="S57" s="635" cm="1">
        <f t="array" ref="S57">H57*P100/SUM($G57:$J57*$O100:$R100)</f>
        <v>0.24174790557209144</v>
      </c>
      <c r="T57" s="635" cm="1">
        <f t="array" ref="T57">I57*Q100/SUM($G57:$J57*$O100:$R100)</f>
        <v>8.0616370556689271E-5</v>
      </c>
      <c r="U57" s="635" cm="1">
        <f t="array" ref="U57">J57*R100/SUM($G57:$J57*$O100:$R100)</f>
        <v>1.0524026754198947E-3</v>
      </c>
      <c r="V57" s="615"/>
    </row>
    <row r="58" spans="1:22">
      <c r="A58" s="347" t="e" vm="8">
        <v>#VALUE!</v>
      </c>
      <c r="B58" s="149">
        <f>IF('Résultat - projection'!$B$210=2,'Résultat - projection'!B17,IF('Résultat - projection'!$B$210=3,'Résultat - projection'!B56,IF('Résultat - projection'!$B$210=4,'Résultat - projection'!B95,IF('Résultat - projection'!$B$210=5,'Résultat - projection'!B139,IF('Résultat - projection'!$B$210=6,'Résultat - projection'!B177,'Clés de répartition'!G58)))))</f>
        <v>0.43650660517214435</v>
      </c>
      <c r="C58" s="149">
        <f>IF('Résultat - projection'!$B$210=2,'Résultat - projection'!C17,IF('Résultat - projection'!$B$210=3,'Résultat - projection'!C56,IF('Résultat - projection'!$B$210=4,'Résultat - projection'!C95,IF('Résultat - projection'!$B$210=5,'Résultat - projection'!C139,IF('Résultat - projection'!$B$210=6,'Résultat - projection'!C177,'Clés de répartition'!H58)))))</f>
        <v>0.39692668611184317</v>
      </c>
      <c r="D58" s="149">
        <f>IF('Résultat - projection'!$B$210=2,'Résultat - projection'!D17,IF('Résultat - projection'!$B$210=3,'Résultat - projection'!D56,IF('Résultat - projection'!$B$210=4,'Résultat - projection'!D95,IF('Résultat - projection'!$B$210=5,'Résultat - projection'!D139,IF('Résultat - projection'!$B$210=6,'Résultat - projection'!D177,'Clés de répartition'!I58)))))</f>
        <v>3.7170184834643773E-2</v>
      </c>
      <c r="E58" s="149">
        <f>IF('Résultat - projection'!$B$210=2,'Résultat - projection'!E17,IF('Résultat - projection'!$B$210=3,'Résultat - projection'!E56,IF('Résultat - projection'!$B$210=4,'Résultat - projection'!E95,IF('Résultat - projection'!$B$210=5,'Résultat - projection'!E139,IF('Résultat - projection'!$B$210=6,'Résultat - projection'!E177,'Clés de répartition'!J58)))))</f>
        <v>0.12939652388136885</v>
      </c>
      <c r="F58" s="608">
        <f>IF('Résultat - projection'!$B$210=2,'Résultat - projection'!F17,IF('Résultat - projection'!$B$210=3,'Résultat - projection'!F56,IF('Résultat - projection'!$B$210=4,'Résultat - projection'!F95,IF('Résultat - projection'!$B$210=5,'Résultat - projection'!F139,IF('Résultat - projection'!$B$210=6,'Résultat - projection'!F177,'Clés de répartition'!K58)))))</f>
        <v>1.2402673924864018</v>
      </c>
      <c r="G58" s="599" cm="1">
        <f t="array" ref="G58">SUM(G67:G85*'Clés de répartition'!$D$151:$D$169)/'Clés de répartition'!$D$142</f>
        <v>0.43650660517214435</v>
      </c>
      <c r="H58" s="600" cm="1">
        <f t="array" ref="H58">SUM(H67:H85*'Clés de répartition'!$D$151:$D$169)/'Clés de répartition'!$D$142</f>
        <v>0.39692668611184317</v>
      </c>
      <c r="I58" s="600" cm="1">
        <f t="array" ref="I58">SUM(I67:I85*'Clés de répartition'!$D$151:$D$169)/'Clés de répartition'!$D$142</f>
        <v>3.7170184834643773E-2</v>
      </c>
      <c r="J58" s="600" cm="1">
        <f t="array" ref="J58">SUM(J67:J85*'Clés de répartition'!$D$151:$D$169)/'Clés de répartition'!$D$142</f>
        <v>0.12939652388136885</v>
      </c>
      <c r="K58" s="604" cm="1">
        <f t="array" ref="K58">SUM(K67:K85*'Clés de répartition'!$D$151:$D$169)/'Clés de répartition'!$D$142</f>
        <v>1.2402673924864018</v>
      </c>
      <c r="N58" s="159">
        <f>(N57-N56)/N56</f>
        <v>2.6773055150216812E-2</v>
      </c>
      <c r="O58" t="s">
        <v>665</v>
      </c>
      <c r="R58" s="600" cm="1">
        <f t="array" ref="R58">SUM(R67:R85*'Clés de répartition'!$D$151:$D$169)/'Clés de répartition'!$D$142</f>
        <v>0.5462351238995965</v>
      </c>
      <c r="S58" s="600" cm="1">
        <f t="array" ref="S58">SUM(S67:S85*'Clés de répartition'!$D$151:$D$169)/'Clés de répartition'!$D$142</f>
        <v>0.41008924166397426</v>
      </c>
      <c r="T58" s="600" cm="1">
        <f t="array" ref="T58">SUM(T67:T85*'Clés de répartition'!$D$151:$D$169)/'Clés de répartition'!$D$142</f>
        <v>2.4686193609431032E-2</v>
      </c>
      <c r="U58" s="600" cm="1">
        <f t="array" ref="U58">SUM(U67:U85*'Clés de répartition'!$D$151:$D$169)/'Clés de répartition'!$D$142</f>
        <v>1.8989440826998209E-2</v>
      </c>
      <c r="V58" s="615"/>
    </row>
    <row r="59" spans="1:22">
      <c r="A59" s="347" t="e" vm="9">
        <v>#VALUE!</v>
      </c>
      <c r="B59" s="149">
        <f>IF('Résultat - projection'!$B$210=2,'Résultat - projection'!B18,IF('Résultat - projection'!$B$210=3,'Résultat - projection'!B57,IF('Résultat - projection'!$B$210=4,'Résultat - projection'!B96,IF('Résultat - projection'!$B$210=5,'Résultat - projection'!B140,IF('Résultat - projection'!$B$210=6,'Résultat - projection'!B178,'Clés de répartition'!G59)))))</f>
        <v>0.59913379914714404</v>
      </c>
      <c r="C59" s="149">
        <f>IF('Résultat - projection'!$B$210=2,'Résultat - projection'!C18,IF('Résultat - projection'!$B$210=3,'Résultat - projection'!C57,IF('Résultat - projection'!$B$210=4,'Résultat - projection'!C96,IF('Résultat - projection'!$B$210=5,'Résultat - projection'!C140,IF('Résultat - projection'!$B$210=6,'Résultat - projection'!C178,'Clés de répartition'!H59)))))</f>
        <v>0.31364308572229799</v>
      </c>
      <c r="D59" s="149">
        <f>IF('Résultat - projection'!$B$210=2,'Résultat - projection'!D18,IF('Résultat - projection'!$B$210=3,'Résultat - projection'!D57,IF('Résultat - projection'!$B$210=4,'Résultat - projection'!D96,IF('Résultat - projection'!$B$210=5,'Résultat - projection'!D140,IF('Résultat - projection'!$B$210=6,'Résultat - projection'!D178,'Clés de répartition'!I59)))))</f>
        <v>6.2321529770164603E-3</v>
      </c>
      <c r="E59" s="149">
        <f>IF('Résultat - projection'!$B$210=2,'Résultat - projection'!E18,IF('Résultat - projection'!$B$210=3,'Résultat - projection'!E57,IF('Résultat - projection'!$B$210=4,'Résultat - projection'!E96,IF('Résultat - projection'!$B$210=5,'Résultat - projection'!E140,IF('Résultat - projection'!$B$210=6,'Résultat - projection'!E178,'Clés de répartition'!J59)))))</f>
        <v>8.0990962153542997E-2</v>
      </c>
      <c r="F59" s="608">
        <f>IF('Résultat - projection'!$B$210=2,'Résultat - projection'!F18,IF('Résultat - projection'!$B$210=3,'Résultat - projection'!F57,IF('Résultat - projection'!$B$210=4,'Résultat - projection'!F96,IF('Résultat - projection'!$B$210=5,'Résultat - projection'!F140,IF('Résultat - projection'!$B$210=6,'Résultat - projection'!F178,'Clés de répartition'!K59)))))</f>
        <v>1.1746237541954601</v>
      </c>
      <c r="G59" s="603">
        <v>0.59913379914714404</v>
      </c>
      <c r="H59" s="601">
        <v>0.31364308572229799</v>
      </c>
      <c r="I59" s="601">
        <v>6.2321529770164603E-3</v>
      </c>
      <c r="J59" s="601">
        <v>8.0990962153542997E-2</v>
      </c>
      <c r="K59" s="249">
        <v>1.1746237541954601</v>
      </c>
      <c r="M59">
        <v>2023</v>
      </c>
      <c r="N59">
        <f>N57*(1+N58)</f>
        <v>814962.09514938889</v>
      </c>
      <c r="R59" s="635" cm="1">
        <f t="array" ref="R59">G59*O102/SUM($G59:$J59*$O102:$R102)</f>
        <v>0.63810007109957523</v>
      </c>
      <c r="S59" s="635" cm="1">
        <f t="array" ref="S59">H59*P102/SUM($G59:$J59*$O102:$R102)</f>
        <v>0.35170429233678757</v>
      </c>
      <c r="T59" s="635" cm="1">
        <f t="array" ref="T59">I59*Q102/SUM($G59:$J59*$O102:$R102)</f>
        <v>4.3783803273321105E-3</v>
      </c>
      <c r="U59" s="635" cm="1">
        <f t="array" ref="U59">J59*R102/SUM($G59:$J59*$O102:$R102)</f>
        <v>5.8172562363051098E-3</v>
      </c>
      <c r="V59" s="615"/>
    </row>
    <row r="60" spans="1:22">
      <c r="A60" s="347" t="e" vm="10">
        <v>#VALUE!</v>
      </c>
      <c r="B60" s="149">
        <f>IF('Résultat - projection'!$B$210=2,'Résultat - projection'!B19,IF('Résultat - projection'!$B$210=3,'Résultat - projection'!B58,IF('Résultat - projection'!$B$210=4,'Résultat - projection'!B97,IF('Résultat - projection'!$B$210=5,'Résultat - projection'!B141,IF('Résultat - projection'!$B$210=6,'Résultat - projection'!B179,'Clés de répartition'!G60)))))</f>
        <v>0.49107107714320802</v>
      </c>
      <c r="C60" s="149">
        <f>IF('Résultat - projection'!$B$210=2,'Résultat - projection'!C19,IF('Résultat - projection'!$B$210=3,'Résultat - projection'!C58,IF('Résultat - projection'!$B$210=4,'Résultat - projection'!C97,IF('Résultat - projection'!$B$210=5,'Résultat - projection'!C141,IF('Résultat - projection'!$B$210=6,'Résultat - projection'!C179,'Clés de répartition'!H60)))))</f>
        <v>0.43366341676873299</v>
      </c>
      <c r="D60" s="149">
        <f>IF('Résultat - projection'!$B$210=2,'Résultat - projection'!D19,IF('Résultat - projection'!$B$210=3,'Résultat - projection'!D58,IF('Résultat - projection'!$B$210=4,'Résultat - projection'!D97,IF('Résultat - projection'!$B$210=5,'Résultat - projection'!D141,IF('Résultat - projection'!$B$210=6,'Résultat - projection'!D179,'Clés de répartition'!I60)))))</f>
        <v>2.4338347483625102E-2</v>
      </c>
      <c r="E60" s="149">
        <f>IF('Résultat - projection'!$B$210=2,'Résultat - projection'!E19,IF('Résultat - projection'!$B$210=3,'Résultat - projection'!E58,IF('Résultat - projection'!$B$210=4,'Résultat - projection'!E97,IF('Résultat - projection'!$B$210=5,'Résultat - projection'!E141,IF('Résultat - projection'!$B$210=6,'Résultat - projection'!E179,'Clés de répartition'!J60)))))</f>
        <v>5.0927158604434697E-2</v>
      </c>
      <c r="F60" s="608">
        <f>IF('Résultat - projection'!$B$210=2,'Résultat - projection'!F19,IF('Résultat - projection'!$B$210=3,'Résultat - projection'!F58,IF('Résultat - projection'!$B$210=4,'Résultat - projection'!F97,IF('Résultat - projection'!$B$210=5,'Résultat - projection'!F141,IF('Résultat - projection'!$B$210=6,'Résultat - projection'!F179,'Clés de répartition'!K60)))))</f>
        <v>1.4945495543106799</v>
      </c>
      <c r="G60" s="603">
        <v>0.49107107714320802</v>
      </c>
      <c r="H60" s="601">
        <v>0.43366341676873299</v>
      </c>
      <c r="I60" s="601">
        <v>2.4338347483625102E-2</v>
      </c>
      <c r="J60" s="601">
        <v>5.0927158604434697E-2</v>
      </c>
      <c r="K60" s="249">
        <v>1.4945495543106799</v>
      </c>
      <c r="N60" s="159">
        <f>(N59-N56)/N56</f>
        <v>5.4262906782510174E-2</v>
      </c>
      <c r="O60" t="s">
        <v>664</v>
      </c>
      <c r="R60" s="635" cm="1">
        <f t="array" ref="R60">G60*O103/SUM($G60:$J60*$O103:$R103)</f>
        <v>0.60743413701057647</v>
      </c>
      <c r="S60" s="635" cm="1">
        <f t="array" ref="S60">H60*P103/SUM($G60:$J60*$O103:$R103)</f>
        <v>0.36686510773107495</v>
      </c>
      <c r="T60" s="635" cm="1">
        <f t="array" ref="T60">I60*Q103/SUM($G60:$J60*$O103:$R103)</f>
        <v>1.9890812074918971E-2</v>
      </c>
      <c r="U60" s="635" cm="1">
        <f t="array" ref="U60">J60*R103/SUM($G60:$J60*$O103:$R103)</f>
        <v>5.8099431834295985E-3</v>
      </c>
      <c r="V60" s="615"/>
    </row>
    <row r="61" spans="1:22">
      <c r="A61" s="347" t="e" vm="11">
        <v>#VALUE!</v>
      </c>
      <c r="B61" s="149">
        <f>IF('Résultat - projection'!$B$210=2,'Résultat - projection'!B20,IF('Résultat - projection'!$B$210=3,'Résultat - projection'!B59,IF('Résultat - projection'!$B$210=4,'Résultat - projection'!B98,IF('Résultat - projection'!$B$210=5,'Résultat - projection'!B142,IF('Résultat - projection'!$B$210=6,'Résultat - projection'!B180,'Clés de répartition'!G61)))))</f>
        <v>0.50642004930322604</v>
      </c>
      <c r="C61" s="149">
        <f>IF('Résultat - projection'!$B$210=2,'Résultat - projection'!C20,IF('Résultat - projection'!$B$210=3,'Résultat - projection'!C59,IF('Résultat - projection'!$B$210=4,'Résultat - projection'!C98,IF('Résultat - projection'!$B$210=5,'Résultat - projection'!C142,IF('Résultat - projection'!$B$210=6,'Résultat - projection'!C180,'Clés de répartition'!H61)))))</f>
        <v>0.39503070062211199</v>
      </c>
      <c r="D61" s="149">
        <f>IF('Résultat - projection'!$B$210=2,'Résultat - projection'!D20,IF('Résultat - projection'!$B$210=3,'Résultat - projection'!D59,IF('Résultat - projection'!$B$210=4,'Résultat - projection'!D98,IF('Résultat - projection'!$B$210=5,'Résultat - projection'!D142,IF('Résultat - projection'!$B$210=6,'Résultat - projection'!D180,'Clés de répartition'!I61)))))</f>
        <v>2.1839202644353701E-2</v>
      </c>
      <c r="E61" s="149">
        <f>IF('Résultat - projection'!$B$210=2,'Résultat - projection'!E20,IF('Résultat - projection'!$B$210=3,'Résultat - projection'!E59,IF('Résultat - projection'!$B$210=4,'Résultat - projection'!E98,IF('Résultat - projection'!$B$210=5,'Résultat - projection'!E142,IF('Résultat - projection'!$B$210=6,'Résultat - projection'!E180,'Clés de répartition'!J61)))))</f>
        <v>7.6710047430309999E-2</v>
      </c>
      <c r="F61" s="608">
        <f>IF('Résultat - projection'!$B$210=2,'Résultat - projection'!F20,IF('Résultat - projection'!$B$210=3,'Résultat - projection'!F59,IF('Résultat - projection'!$B$210=4,'Résultat - projection'!F98,IF('Résultat - projection'!$B$210=5,'Résultat - projection'!F142,IF('Résultat - projection'!$B$210=6,'Résultat - projection'!F180,'Clés de répartition'!K61)))))</f>
        <v>1.2984416592364201</v>
      </c>
      <c r="G61" s="603">
        <v>0.50642004930322604</v>
      </c>
      <c r="H61" s="601">
        <v>0.39503070062211199</v>
      </c>
      <c r="I61" s="601">
        <v>2.1839202644353701E-2</v>
      </c>
      <c r="J61" s="601">
        <v>7.6710047430309999E-2</v>
      </c>
      <c r="K61" s="249">
        <v>1.2984416592364201</v>
      </c>
      <c r="M61" t="s">
        <v>663</v>
      </c>
      <c r="N61" s="159">
        <f>G50*(1+N60)</f>
        <v>0.48318382569938056</v>
      </c>
      <c r="R61" s="635" cm="1">
        <f t="array" ref="R61">G61*O104/SUM($G61:$J61*$O104:$R104)</f>
        <v>0.57545786762666429</v>
      </c>
      <c r="S61" s="635" cm="1">
        <f t="array" ref="S61">H61*P104/SUM($G61:$J61*$O104:$R104)</f>
        <v>0.39573661928154386</v>
      </c>
      <c r="T61" s="635" cm="1">
        <f t="array" ref="T61">I61*Q104/SUM($G61:$J61*$O104:$R104)</f>
        <v>1.6052661966846148E-2</v>
      </c>
      <c r="U61" s="635" cm="1">
        <f t="array" ref="U61">J61*R104/SUM($G61:$J61*$O104:$R104)</f>
        <v>1.2752851124945768E-2</v>
      </c>
      <c r="V61" s="615"/>
    </row>
    <row r="62" spans="1:22">
      <c r="A62" s="347" t="e" vm="12">
        <v>#VALUE!</v>
      </c>
      <c r="B62" s="149">
        <f>IF('Résultat - projection'!$B$210=2,'Résultat - projection'!B21,IF('Résultat - projection'!$B$210=3,'Résultat - projection'!B60,IF('Résultat - projection'!$B$210=4,'Résultat - projection'!B99,IF('Résultat - projection'!$B$210=5,'Résultat - projection'!B143,IF('Résultat - projection'!$B$210=6,'Résultat - projection'!B181,'Clés de répartition'!G62)))))</f>
        <v>0.71398134296734606</v>
      </c>
      <c r="C62" s="149">
        <f>IF('Résultat - projection'!$B$210=2,'Résultat - projection'!C21,IF('Résultat - projection'!$B$210=3,'Résultat - projection'!C60,IF('Résultat - projection'!$B$210=4,'Résultat - projection'!C99,IF('Résultat - projection'!$B$210=5,'Résultat - projection'!C143,IF('Résultat - projection'!$B$210=6,'Résultat - projection'!C181,'Clés de répartition'!H62)))))</f>
        <v>0.20328005849785799</v>
      </c>
      <c r="D62" s="149">
        <f>IF('Résultat - projection'!$B$210=2,'Résultat - projection'!D21,IF('Résultat - projection'!$B$210=3,'Résultat - projection'!D60,IF('Résultat - projection'!$B$210=4,'Résultat - projection'!D99,IF('Résultat - projection'!$B$210=5,'Résultat - projection'!D143,IF('Résultat - projection'!$B$210=6,'Résultat - projection'!D181,'Clés de répartition'!I62)))))</f>
        <v>1.4822873818989101E-2</v>
      </c>
      <c r="E62" s="149">
        <f>IF('Résultat - projection'!$B$210=2,'Résultat - projection'!E21,IF('Résultat - projection'!$B$210=3,'Résultat - projection'!E60,IF('Résultat - projection'!$B$210=4,'Résultat - projection'!E99,IF('Résultat - projection'!$B$210=5,'Résultat - projection'!E143,IF('Résultat - projection'!$B$210=6,'Résultat - projection'!E181,'Clés de répartition'!J62)))))</f>
        <v>6.7915724715805106E-2</v>
      </c>
      <c r="F62" s="608">
        <f>IF('Résultat - projection'!$B$210=2,'Résultat - projection'!F21,IF('Résultat - projection'!$B$210=3,'Résultat - projection'!F60,IF('Résultat - projection'!$B$210=4,'Résultat - projection'!F99,IF('Résultat - projection'!$B$210=5,'Résultat - projection'!F143,IF('Résultat - projection'!$B$210=6,'Résultat - projection'!F181,'Clés de répartition'!K62)))))</f>
        <v>1.2442108878584901</v>
      </c>
      <c r="G62" s="603">
        <v>0.71398134296734606</v>
      </c>
      <c r="H62" s="601">
        <v>0.20328005849785799</v>
      </c>
      <c r="I62" s="601">
        <v>1.4822873818989101E-2</v>
      </c>
      <c r="J62" s="601">
        <v>6.7915724715805106E-2</v>
      </c>
      <c r="K62" s="249">
        <v>1.2442108878584901</v>
      </c>
      <c r="M62" s="261" t="s">
        <v>42</v>
      </c>
      <c r="R62" s="635" cm="1">
        <f t="array" ref="R62">G62*O105/SUM($G62:$J62*$O105:$R105)</f>
        <v>0.71560100801199245</v>
      </c>
      <c r="S62" s="635" cm="1">
        <f t="array" ref="S62">H62*P105/SUM($G62:$J62*$O105:$R105)</f>
        <v>0.27079258919370186</v>
      </c>
      <c r="T62" s="635" cm="1">
        <f t="array" ref="T62">I62*Q105/SUM($G62:$J62*$O105:$R105)</f>
        <v>7.2442726646047171E-3</v>
      </c>
      <c r="U62" s="635" cm="1">
        <f t="array" ref="U62">J62*R105/SUM($G62:$J62*$O105:$R105)</f>
        <v>6.3621301297009424E-3</v>
      </c>
      <c r="V62" s="615"/>
    </row>
    <row r="63" spans="1:22">
      <c r="A63" s="347" t="e" vm="13">
        <v>#VALUE!</v>
      </c>
      <c r="B63" s="149">
        <f>IF('Résultat - projection'!$B$210=2,'Résultat - projection'!B22,IF('Résultat - projection'!$B$210=3,'Résultat - projection'!B61,IF('Résultat - projection'!$B$210=4,'Résultat - projection'!B100,IF('Résultat - projection'!$B$210=5,'Résultat - projection'!B144,IF('Résultat - projection'!$B$210=6,'Résultat - projection'!B182,'Clés de répartition'!G63)))))</f>
        <v>0.68937888198757802</v>
      </c>
      <c r="C63" s="149">
        <f>IF('Résultat - projection'!$B$210=2,'Résultat - projection'!C22,IF('Résultat - projection'!$B$210=3,'Résultat - projection'!C61,IF('Résultat - projection'!$B$210=4,'Résultat - projection'!C100,IF('Résultat - projection'!$B$210=5,'Résultat - projection'!C144,IF('Résultat - projection'!$B$210=6,'Résultat - projection'!C182,'Clés de répartition'!H63)))))</f>
        <v>0.24566149068323001</v>
      </c>
      <c r="D63" s="149">
        <f>IF('Résultat - projection'!$B$210=2,'Résultat - projection'!D22,IF('Résultat - projection'!$B$210=3,'Résultat - projection'!D61,IF('Résultat - projection'!$B$210=4,'Résultat - projection'!D100,IF('Résultat - projection'!$B$210=5,'Résultat - projection'!D144,IF('Résultat - projection'!$B$210=6,'Résultat - projection'!D182,'Clés de répartition'!I63)))))</f>
        <v>4.31987577639752E-3</v>
      </c>
      <c r="E63" s="149">
        <f>IF('Résultat - projection'!$B$210=2,'Résultat - projection'!E22,IF('Résultat - projection'!$B$210=3,'Résultat - projection'!E61,IF('Résultat - projection'!$B$210=4,'Résultat - projection'!E100,IF('Résultat - projection'!$B$210=5,'Résultat - projection'!E144,IF('Résultat - projection'!$B$210=6,'Résultat - projection'!E182,'Clés de répartition'!J63)))))</f>
        <v>6.0639751552795003E-2</v>
      </c>
      <c r="F63" s="608">
        <f>IF('Résultat - projection'!$B$210=2,'Résultat - projection'!F22,IF('Résultat - projection'!$B$210=3,'Résultat - projection'!F61,IF('Résultat - projection'!$B$210=4,'Résultat - projection'!F100,IF('Résultat - projection'!$B$210=5,'Résultat - projection'!F144,IF('Résultat - projection'!$B$210=6,'Résultat - projection'!F182,'Clés de répartition'!K63)))))</f>
        <v>1.2612643325492301</v>
      </c>
      <c r="G63" s="603">
        <v>0.68937888198757802</v>
      </c>
      <c r="H63" s="601">
        <v>0.24566149068323001</v>
      </c>
      <c r="I63" s="601">
        <v>4.31987577639752E-3</v>
      </c>
      <c r="J63" s="601">
        <v>6.0639751552795003E-2</v>
      </c>
      <c r="K63" s="249">
        <v>1.2612643325492301</v>
      </c>
      <c r="M63">
        <v>2018</v>
      </c>
      <c r="N63">
        <v>365152600</v>
      </c>
      <c r="R63" s="635" cm="1">
        <f t="array" ref="R63">G63*O106/SUM($G63:$J63*$O106:$R106)</f>
        <v>0.75872428132803948</v>
      </c>
      <c r="S63" s="635" cm="1">
        <f t="array" ref="S63">H63*P106/SUM($G63:$J63*$O106:$R106)</f>
        <v>0.23807134216783205</v>
      </c>
      <c r="T63" s="635" cm="1">
        <f t="array" ref="T63">I63*Q106/SUM($G63:$J63*$O106:$R106)</f>
        <v>6.5589527728559616E-4</v>
      </c>
      <c r="U63" s="635" cm="1">
        <f t="array" ref="U63">J63*R106/SUM($G63:$J63*$O106:$R106)</f>
        <v>2.5484812268429914E-3</v>
      </c>
      <c r="V63" s="615"/>
    </row>
    <row r="64" spans="1:22">
      <c r="A64" s="347" t="e" vm="14">
        <v>#VALUE!</v>
      </c>
      <c r="B64" s="149">
        <f>IF('Résultat - projection'!$B$210=2,'Résultat - projection'!B23,IF('Résultat - projection'!$B$210=3,'Résultat - projection'!B62,IF('Résultat - projection'!$B$210=4,'Résultat - projection'!B101,IF('Résultat - projection'!$B$210=5,'Résultat - projection'!B145,IF('Résultat - projection'!$B$210=6,'Résultat - projection'!B183,'Clés de répartition'!G64)))))</f>
        <v>0.74684856753069595</v>
      </c>
      <c r="C64" s="149">
        <f>IF('Résultat - projection'!$B$210=2,'Résultat - projection'!C23,IF('Résultat - projection'!$B$210=3,'Résultat - projection'!C62,IF('Résultat - projection'!$B$210=4,'Résultat - projection'!C101,IF('Résultat - projection'!$B$210=5,'Résultat - projection'!C145,IF('Résultat - projection'!$B$210=6,'Résultat - projection'!C183,'Clés de répartition'!H64)))))</f>
        <v>0.18978171896316501</v>
      </c>
      <c r="D64" s="149">
        <f>IF('Résultat - projection'!$B$210=2,'Résultat - projection'!D23,IF('Résultat - projection'!$B$210=3,'Résultat - projection'!D62,IF('Résultat - projection'!$B$210=4,'Résultat - projection'!D101,IF('Résultat - projection'!$B$210=5,'Résultat - projection'!D145,IF('Résultat - projection'!$B$210=6,'Résultat - projection'!D183,'Clés de répartition'!I64)))))</f>
        <v>6.3369713506139194E-2</v>
      </c>
      <c r="E64" s="149">
        <f>IF('Résultat - projection'!$B$210=2,'Résultat - projection'!E23,IF('Résultat - projection'!$B$210=3,'Résultat - projection'!E62,IF('Résultat - projection'!$B$210=4,'Résultat - projection'!E101,IF('Résultat - projection'!$B$210=5,'Résultat - projection'!E145,IF('Résultat - projection'!$B$210=6,'Résultat - projection'!E183,'Clés de répartition'!J64)))))</f>
        <v>0</v>
      </c>
      <c r="F64" s="608">
        <f>IF('Résultat - projection'!$B$210=2,'Résultat - projection'!F23,IF('Résultat - projection'!$B$210=3,'Résultat - projection'!F62,IF('Résultat - projection'!$B$210=4,'Résultat - projection'!F101,IF('Résultat - projection'!$B$210=5,'Résultat - projection'!F145,IF('Résultat - projection'!$B$210=6,'Résultat - projection'!F183,'Clés de répartition'!K64)))))</f>
        <v>1.0987916984464701</v>
      </c>
      <c r="G64" s="603">
        <v>0.74684856753069595</v>
      </c>
      <c r="H64" s="601">
        <v>0.18978171896316501</v>
      </c>
      <c r="I64" s="601">
        <v>6.3369713506139194E-2</v>
      </c>
      <c r="J64" s="601">
        <v>0</v>
      </c>
      <c r="K64" s="249">
        <v>1.0987916984464701</v>
      </c>
      <c r="M64" s="19">
        <v>2023</v>
      </c>
      <c r="N64" s="160">
        <v>288000000</v>
      </c>
      <c r="R64" s="635" cm="1">
        <f t="array" ref="R64">G64*O107/SUM($G64:$J64*$O107:$R107)</f>
        <v>0.7095853899802419</v>
      </c>
      <c r="S64" s="635" cm="1">
        <f t="array" ref="S64">H64*P107/SUM($G64:$J64*$O107:$R107)</f>
        <v>0.25387650335801226</v>
      </c>
      <c r="T64" s="635" cm="1">
        <f t="array" ref="T64">I64*Q107/SUM($G64:$J64*$O107:$R107)</f>
        <v>3.6538106661745735E-2</v>
      </c>
      <c r="U64" s="635" cm="1">
        <f t="array" ref="U64">J64*R107/SUM($G64:$J64*$O107:$R107)</f>
        <v>0</v>
      </c>
      <c r="V64" s="615"/>
    </row>
    <row r="65" spans="1:22">
      <c r="A65" s="347" t="e" vm="15">
        <v>#VALUE!</v>
      </c>
      <c r="B65" s="149">
        <f>IF('Résultat - projection'!$B$210=2,'Résultat - projection'!B24,IF('Résultat - projection'!$B$210=3,'Résultat - projection'!B63,IF('Résultat - projection'!$B$210=4,'Résultat - projection'!B102,IF('Résultat - projection'!$B$210=5,'Résultat - projection'!B146,IF('Résultat - projection'!$B$210=6,'Résultat - projection'!B184,'Clés de répartition'!G65)))))</f>
        <v>0.45992571216906097</v>
      </c>
      <c r="C65" s="149">
        <f>IF('Résultat - projection'!$B$210=2,'Résultat - projection'!C24,IF('Résultat - projection'!$B$210=3,'Résultat - projection'!C63,IF('Résultat - projection'!$B$210=4,'Résultat - projection'!C102,IF('Résultat - projection'!$B$210=5,'Résultat - projection'!C146,IF('Résultat - projection'!$B$210=6,'Résultat - projection'!C184,'Clés de répartition'!H65)))))</f>
        <v>0.34899029163171102</v>
      </c>
      <c r="D65" s="149">
        <f>IF('Résultat - projection'!$B$210=2,'Résultat - projection'!D24,IF('Résultat - projection'!$B$210=3,'Résultat - projection'!D63,IF('Résultat - projection'!$B$210=4,'Résultat - projection'!D102,IF('Résultat - projection'!$B$210=5,'Résultat - projection'!D146,IF('Résultat - projection'!$B$210=6,'Résultat - projection'!D184,'Clés de répartition'!I65)))))</f>
        <v>3.5741319055545999E-2</v>
      </c>
      <c r="E65" s="149">
        <f>IF('Résultat - projection'!$B$210=2,'Résultat - projection'!E24,IF('Résultat - projection'!$B$210=3,'Résultat - projection'!E63,IF('Résultat - projection'!$B$210=4,'Résultat - projection'!E102,IF('Résultat - projection'!$B$210=5,'Résultat - projection'!E146,IF('Résultat - projection'!$B$210=6,'Résultat - projection'!E184,'Clés de répartition'!J65)))))</f>
        <v>0.155342677143681</v>
      </c>
      <c r="F65" s="608">
        <f>IF('Résultat - projection'!$B$210=2,'Résultat - projection'!F24,IF('Résultat - projection'!$B$210=3,'Résultat - projection'!F63,IF('Résultat - projection'!$B$210=4,'Résultat - projection'!F102,IF('Résultat - projection'!$B$210=5,'Résultat - projection'!F146,IF('Résultat - projection'!$B$210=6,'Résultat - projection'!F184,'Clés de répartition'!K65)))))</f>
        <v>1.47542893106574</v>
      </c>
      <c r="G65" s="603">
        <v>0.45992571216906097</v>
      </c>
      <c r="H65" s="601">
        <v>0.34899029163171102</v>
      </c>
      <c r="I65" s="601">
        <v>3.5741319055545999E-2</v>
      </c>
      <c r="J65" s="601">
        <v>0.155342677143681</v>
      </c>
      <c r="K65" s="249">
        <v>1.47542893106574</v>
      </c>
      <c r="M65" s="19"/>
      <c r="N65" s="159">
        <f>(N64-N63)/N63</f>
        <v>-0.21128865027936267</v>
      </c>
      <c r="O65" t="s">
        <v>668</v>
      </c>
      <c r="R65" s="635" cm="1">
        <f t="array" ref="R65">G65*O108/SUM($G65:$J65*$O108:$R108)</f>
        <v>0.57658498942499192</v>
      </c>
      <c r="S65" s="635" cm="1">
        <f t="array" ref="S65">H65*P108/SUM($G65:$J65*$O108:$R108)</f>
        <v>0.36528557916343829</v>
      </c>
      <c r="T65" s="635" cm="1">
        <f t="array" ref="T65">I65*Q108/SUM($G65:$J65*$O108:$R108)</f>
        <v>2.0206124272550103E-2</v>
      </c>
      <c r="U65" s="635" cm="1">
        <f t="array" ref="U65">J65*R108/SUM($G65:$J65*$O108:$R108)</f>
        <v>3.7923307139019792E-2</v>
      </c>
      <c r="V65" s="615"/>
    </row>
    <row r="66" spans="1:22">
      <c r="A66" s="107" t="s">
        <v>585</v>
      </c>
      <c r="B66" s="315"/>
      <c r="C66" s="315"/>
      <c r="D66" s="315"/>
      <c r="E66" s="315"/>
      <c r="F66" s="315"/>
      <c r="G66" s="602"/>
      <c r="H66" s="598"/>
      <c r="I66" s="598"/>
      <c r="J66" s="598"/>
      <c r="K66" s="605"/>
      <c r="M66" t="s">
        <v>663</v>
      </c>
      <c r="N66" s="159">
        <f>H50*(1+N65)</f>
        <v>0.30453603704172183</v>
      </c>
      <c r="R66" s="636"/>
      <c r="S66" s="636"/>
      <c r="T66" s="636"/>
      <c r="U66" s="636"/>
      <c r="V66" s="615"/>
    </row>
    <row r="67" spans="1:22" ht="17">
      <c r="A67" s="66" t="e" vm="16">
        <v>#VALUE!</v>
      </c>
      <c r="B67" s="149">
        <f>IF('Résultat - projection'!$B$210=2,'Résultat - projection'!B26,IF('Résultat - projection'!$B$210=3,'Résultat - projection'!B65,IF('Résultat - projection'!$B$210=4,'Résultat - projection'!B104,IF('Résultat - projection'!$B$210=5,'Résultat - projection'!B148,IF('Résultat - projection'!$B$210=6,'Résultat - projection'!B186,'Clés de répartition'!G67)))))</f>
        <v>0.46444543196330601</v>
      </c>
      <c r="C67" s="149">
        <f>IF('Résultat - projection'!$B$210=2,'Résultat - projection'!C26,IF('Résultat - projection'!$B$210=3,'Résultat - projection'!C65,IF('Résultat - projection'!$B$210=4,'Résultat - projection'!C104,IF('Résultat - projection'!$B$210=5,'Résultat - projection'!C148,IF('Résultat - projection'!$B$210=6,'Résultat - projection'!C186,'Clés de répartition'!H67)))))</f>
        <v>0.39875601142744799</v>
      </c>
      <c r="D67" s="149">
        <f>IF('Résultat - projection'!$B$210=2,'Résultat - projection'!D26,IF('Résultat - projection'!$B$210=3,'Résultat - projection'!D65,IF('Résultat - projection'!$B$210=4,'Résultat - projection'!D104,IF('Résultat - projection'!$B$210=5,'Résultat - projection'!D148,IF('Résultat - projection'!$B$210=6,'Résultat - projection'!D186,'Clés de répartition'!I67)))))</f>
        <v>3.4974199053208997E-2</v>
      </c>
      <c r="E67" s="149">
        <f>IF('Résultat - projection'!$B$210=2,'Résultat - projection'!E26,IF('Résultat - projection'!$B$210=3,'Résultat - projection'!E65,IF('Résultat - projection'!$B$210=4,'Résultat - projection'!E104,IF('Résultat - projection'!$B$210=5,'Résultat - projection'!E148,IF('Résultat - projection'!$B$210=6,'Résultat - projection'!E186,'Clés de répartition'!J67)))))</f>
        <v>0.101824357556036</v>
      </c>
      <c r="F67" s="608">
        <f>IF('Résultat - projection'!$B$210=2,'Résultat - projection'!F26,IF('Résultat - projection'!$B$210=3,'Résultat - projection'!F65,IF('Résultat - projection'!$B$210=4,'Résultat - projection'!F104,IF('Résultat - projection'!$B$210=5,'Résultat - projection'!F148,IF('Résultat - projection'!$B$210=6,'Résultat - projection'!F186,'Clés de répartition'!K67)))))</f>
        <v>1.2524335480406801</v>
      </c>
      <c r="G67" s="603">
        <v>0.46444543196330601</v>
      </c>
      <c r="H67" s="601">
        <v>0.39875601142744799</v>
      </c>
      <c r="I67" s="601">
        <v>3.4974199053208997E-2</v>
      </c>
      <c r="J67" s="601">
        <v>0.101824357556036</v>
      </c>
      <c r="K67" s="249">
        <v>1.2524335480406801</v>
      </c>
      <c r="P67" s="170"/>
      <c r="R67" s="635" cm="1">
        <f t="array" ref="R67">G67*O110/SUM($G67:$J67*$O110:$R110)</f>
        <v>0.54066423529605157</v>
      </c>
      <c r="S67" s="635" cm="1">
        <f t="array" ref="S67">H67*P110/SUM($G67:$J67*$O110:$R110)</f>
        <v>0.42426602306404315</v>
      </c>
      <c r="T67" s="635" cm="1">
        <f t="array" ref="T67">I67*Q110/SUM($G67:$J67*$O110:$R110)</f>
        <v>2.416472797000636E-2</v>
      </c>
      <c r="U67" s="635" cm="1">
        <f t="array" ref="U67">J67*R110/SUM($G67:$J67*$O110:$R110)</f>
        <v>1.0905013669899198E-2</v>
      </c>
      <c r="V67" s="615"/>
    </row>
    <row r="68" spans="1:22" ht="17">
      <c r="A68" s="66" t="e" vm="17">
        <v>#VALUE!</v>
      </c>
      <c r="B68" s="149">
        <f>IF('Résultat - projection'!$B$210=2,'Résultat - projection'!B27,IF('Résultat - projection'!$B$210=3,'Résultat - projection'!B66,IF('Résultat - projection'!$B$210=4,'Résultat - projection'!B105,IF('Résultat - projection'!$B$210=5,'Résultat - projection'!B149,IF('Résultat - projection'!$B$210=6,'Résultat - projection'!B187,'Clés de répartition'!G68)))))</f>
        <v>0.54706475353150497</v>
      </c>
      <c r="C68" s="149">
        <f>IF('Résultat - projection'!$B$210=2,'Résultat - projection'!C27,IF('Résultat - projection'!$B$210=3,'Résultat - projection'!C66,IF('Résultat - projection'!$B$210=4,'Résultat - projection'!C105,IF('Résultat - projection'!$B$210=5,'Résultat - projection'!C149,IF('Résultat - projection'!$B$210=6,'Résultat - projection'!C187,'Clés de répartition'!H68)))))</f>
        <v>0.32638405450546698</v>
      </c>
      <c r="D68" s="149">
        <f>IF('Résultat - projection'!$B$210=2,'Résultat - projection'!D27,IF('Résultat - projection'!$B$210=3,'Résultat - projection'!D66,IF('Résultat - projection'!$B$210=4,'Résultat - projection'!D105,IF('Résultat - projection'!$B$210=5,'Résultat - projection'!D149,IF('Résultat - projection'!$B$210=6,'Résultat - projection'!D187,'Clés de répartition'!I68)))))</f>
        <v>1.5106596004069099E-2</v>
      </c>
      <c r="E68" s="149">
        <f>IF('Résultat - projection'!$B$210=2,'Résultat - projection'!E27,IF('Résultat - projection'!$B$210=3,'Résultat - projection'!E66,IF('Résultat - projection'!$B$210=4,'Résultat - projection'!E105,IF('Résultat - projection'!$B$210=5,'Résultat - projection'!E149,IF('Résultat - projection'!$B$210=6,'Résultat - projection'!E187,'Clés de répartition'!J68)))))</f>
        <v>0.111444595958959</v>
      </c>
      <c r="F68" s="608">
        <f>IF('Résultat - projection'!$B$210=2,'Résultat - projection'!F27,IF('Résultat - projection'!$B$210=3,'Résultat - projection'!F66,IF('Résultat - projection'!$B$210=4,'Résultat - projection'!F105,IF('Résultat - projection'!$B$210=5,'Résultat - projection'!F149,IF('Résultat - projection'!$B$210=6,'Résultat - projection'!F187,'Clés de répartition'!K68)))))</f>
        <v>1.23148005517925</v>
      </c>
      <c r="G68" s="603">
        <v>0.54706475353150497</v>
      </c>
      <c r="H68" s="601">
        <v>0.32638405450546698</v>
      </c>
      <c r="I68" s="601">
        <v>1.5106596004069099E-2</v>
      </c>
      <c r="J68" s="601">
        <v>0.111444595958959</v>
      </c>
      <c r="K68" s="249">
        <v>1.23148005517925</v>
      </c>
      <c r="O68" s="159"/>
      <c r="R68" s="635" cm="1">
        <f t="array" ref="R68">G68*O111/SUM($G68:$J68*$O111:$R111)</f>
        <v>0.63709732418048637</v>
      </c>
      <c r="S68" s="635" cm="1">
        <f t="array" ref="S68">H68*P111/SUM($G68:$J68*$O111:$R111)</f>
        <v>0.33931407821894294</v>
      </c>
      <c r="T68" s="635" cm="1">
        <f t="array" ref="T68">I68*Q111/SUM($G68:$J68*$O111:$R111)</f>
        <v>1.2765347650191451E-2</v>
      </c>
      <c r="U68" s="635" cm="1">
        <f t="array" ref="U68">J68*R111/SUM($G68:$J68*$O111:$R111)</f>
        <v>1.0823249950379171E-2</v>
      </c>
      <c r="V68" s="615"/>
    </row>
    <row r="69" spans="1:22">
      <c r="A69" s="87" t="e" vm="18">
        <v>#VALUE!</v>
      </c>
      <c r="B69" s="149">
        <f>IF('Résultat - projection'!$B$210=2,'Résultat - projection'!B28,IF('Résultat - projection'!$B$210=3,'Résultat - projection'!B67,IF('Résultat - projection'!$B$210=4,'Résultat - projection'!B106,IF('Résultat - projection'!$B$210=5,'Résultat - projection'!B150,IF('Résultat - projection'!$B$210=6,'Résultat - projection'!B188,'Clés de répartition'!G69)))))</f>
        <v>0.36979824525161498</v>
      </c>
      <c r="C69" s="149">
        <f>IF('Résultat - projection'!$B$210=2,'Résultat - projection'!C28,IF('Résultat - projection'!$B$210=3,'Résultat - projection'!C67,IF('Résultat - projection'!$B$210=4,'Résultat - projection'!C106,IF('Résultat - projection'!$B$210=5,'Résultat - projection'!C150,IF('Résultat - projection'!$B$210=6,'Résultat - projection'!C188,'Clés de répartition'!H69)))))</f>
        <v>0.45448861154722497</v>
      </c>
      <c r="D69" s="149">
        <f>IF('Résultat - projection'!$B$210=2,'Résultat - projection'!D28,IF('Résultat - projection'!$B$210=3,'Résultat - projection'!D67,IF('Résultat - projection'!$B$210=4,'Résultat - projection'!D106,IF('Résultat - projection'!$B$210=5,'Résultat - projection'!D150,IF('Résultat - projection'!$B$210=6,'Résultat - projection'!D188,'Clés de répartition'!I69)))))</f>
        <v>2.1470902734330399E-2</v>
      </c>
      <c r="E69" s="149">
        <f>IF('Résultat - projection'!$B$210=2,'Résultat - projection'!E28,IF('Résultat - projection'!$B$210=3,'Résultat - projection'!E67,IF('Résultat - projection'!$B$210=4,'Résultat - projection'!E106,IF('Résultat - projection'!$B$210=5,'Résultat - projection'!E150,IF('Résultat - projection'!$B$210=6,'Résultat - projection'!E188,'Clés de répartition'!J69)))))</f>
        <v>0.15424224046683099</v>
      </c>
      <c r="F69" s="608">
        <f>IF('Résultat - projection'!$B$210=2,'Résultat - projection'!F28,IF('Résultat - projection'!$B$210=3,'Résultat - projection'!F67,IF('Résultat - projection'!$B$210=4,'Résultat - projection'!F106,IF('Résultat - projection'!$B$210=5,'Résultat - projection'!F150,IF('Résultat - projection'!$B$210=6,'Résultat - projection'!F188,'Clés de répartition'!K69)))))</f>
        <v>1.3439235839571</v>
      </c>
      <c r="G69" s="603">
        <v>0.36979824525161498</v>
      </c>
      <c r="H69" s="601">
        <v>0.45448861154722497</v>
      </c>
      <c r="I69" s="601">
        <v>2.1470902734330399E-2</v>
      </c>
      <c r="J69" s="601">
        <v>0.15424224046683099</v>
      </c>
      <c r="K69" s="249">
        <v>1.3439235839571</v>
      </c>
      <c r="R69" s="635" cm="1">
        <f t="array" ref="R69">G69*O112/SUM($G69:$J69*$O112:$R112)</f>
        <v>0.48424264813243517</v>
      </c>
      <c r="S69" s="635" cm="1">
        <f t="array" ref="S69">H69*P112/SUM($G69:$J69*$O112:$R112)</f>
        <v>0.47418299378612083</v>
      </c>
      <c r="T69" s="635" cm="1">
        <f t="array" ref="T69">I69*Q112/SUM($G69:$J69*$O112:$R112)</f>
        <v>1.6578325114833471E-2</v>
      </c>
      <c r="U69" s="635" cm="1">
        <f t="array" ref="U69">J69*R112/SUM($G69:$J69*$O112:$R112)</f>
        <v>2.4996032966610484E-2</v>
      </c>
      <c r="V69" s="615"/>
    </row>
    <row r="70" spans="1:22">
      <c r="A70" s="63" t="e" vm="19">
        <v>#VALUE!</v>
      </c>
      <c r="B70" s="149">
        <f>IF('Résultat - projection'!$B$210=2,'Résultat - projection'!B29,IF('Résultat - projection'!$B$210=3,'Résultat - projection'!B68,IF('Résultat - projection'!$B$210=4,'Résultat - projection'!B107,IF('Résultat - projection'!$B$210=5,'Résultat - projection'!B151,IF('Résultat - projection'!$B$210=6,'Résultat - projection'!B189,'Clés de répartition'!G70)))))</f>
        <v>0.74376153364014796</v>
      </c>
      <c r="C70" s="149">
        <f>IF('Résultat - projection'!$B$210=2,'Résultat - projection'!C29,IF('Résultat - projection'!$B$210=3,'Résultat - projection'!C68,IF('Résultat - projection'!$B$210=4,'Résultat - projection'!C107,IF('Résultat - projection'!$B$210=5,'Résultat - projection'!C151,IF('Résultat - projection'!$B$210=6,'Résultat - projection'!C189,'Clés de répartition'!H70)))))</f>
        <v>0.19839400954071801</v>
      </c>
      <c r="D70" s="149">
        <f>IF('Résultat - projection'!$B$210=2,'Résultat - projection'!D29,IF('Résultat - projection'!$B$210=3,'Résultat - projection'!D68,IF('Résultat - projection'!$B$210=4,'Résultat - projection'!D107,IF('Résultat - projection'!$B$210=5,'Résultat - projection'!D151,IF('Résultat - projection'!$B$210=6,'Résultat - projection'!D189,'Clés de répartition'!I70)))))</f>
        <v>6.1092396475044804E-3</v>
      </c>
      <c r="E70" s="149">
        <f>IF('Résultat - projection'!$B$210=2,'Résultat - projection'!E29,IF('Résultat - projection'!$B$210=3,'Résultat - projection'!E68,IF('Résultat - projection'!$B$210=4,'Résultat - projection'!E107,IF('Résultat - projection'!$B$210=5,'Résultat - projection'!E151,IF('Résultat - projection'!$B$210=6,'Résultat - projection'!E189,'Clés de répartition'!J70)))))</f>
        <v>5.1735217171628801E-2</v>
      </c>
      <c r="F70" s="608">
        <f>IF('Résultat - projection'!$B$210=2,'Résultat - projection'!F29,IF('Résultat - projection'!$B$210=3,'Résultat - projection'!F68,IF('Résultat - projection'!$B$210=4,'Résultat - projection'!F107,IF('Résultat - projection'!$B$210=5,'Résultat - projection'!F151,IF('Résultat - projection'!$B$210=6,'Résultat - projection'!F189,'Clés de répartition'!K70)))))</f>
        <v>1.2184282330610201</v>
      </c>
      <c r="G70" s="603">
        <v>0.74376153364014796</v>
      </c>
      <c r="H70" s="601">
        <v>0.19839400954071801</v>
      </c>
      <c r="I70" s="601">
        <v>6.1092396475044804E-3</v>
      </c>
      <c r="J70" s="601">
        <v>5.1735217171628801E-2</v>
      </c>
      <c r="K70" s="249">
        <v>1.2184282330610201</v>
      </c>
      <c r="R70" s="635" cm="1">
        <f t="array" ref="R70">G70*O113/SUM($G70:$J70*$O113:$R113)</f>
        <v>0.78218601341745531</v>
      </c>
      <c r="S70" s="635" cm="1">
        <f t="array" ref="S70">H70*P113/SUM($G70:$J70*$O113:$R113)</f>
        <v>0.2116821482894985</v>
      </c>
      <c r="T70" s="635" cm="1">
        <f t="array" ref="T70">I70*Q113/SUM($G70:$J70*$O113:$R113)</f>
        <v>3.0731061117207329E-3</v>
      </c>
      <c r="U70" s="635" cm="1">
        <f t="array" ref="U70">J70*R113/SUM($G70:$J70*$O113:$R113)</f>
        <v>3.0587321813254171E-3</v>
      </c>
      <c r="V70" s="615"/>
    </row>
    <row r="71" spans="1:22">
      <c r="A71" s="63" t="e" vm="20">
        <v>#VALUE!</v>
      </c>
      <c r="B71" s="149">
        <f>IF('Résultat - projection'!$B$210=2,'Résultat - projection'!B30,IF('Résultat - projection'!$B$210=3,'Résultat - projection'!B69,IF('Résultat - projection'!$B$210=4,'Résultat - projection'!B108,IF('Résultat - projection'!$B$210=5,'Résultat - projection'!B152,IF('Résultat - projection'!$B$210=6,'Résultat - projection'!B190,'Clés de répartition'!G71)))))</f>
        <v>0.61841162414560502</v>
      </c>
      <c r="C71" s="149">
        <f>IF('Résultat - projection'!$B$210=2,'Résultat - projection'!C30,IF('Résultat - projection'!$B$210=3,'Résultat - projection'!C69,IF('Résultat - projection'!$B$210=4,'Résultat - projection'!C108,IF('Résultat - projection'!$B$210=5,'Résultat - projection'!C152,IF('Résultat - projection'!$B$210=6,'Résultat - projection'!C190,'Clés de répartition'!H71)))))</f>
        <v>0.31202710370303099</v>
      </c>
      <c r="D71" s="149">
        <f>IF('Résultat - projection'!$B$210=2,'Résultat - projection'!D30,IF('Résultat - projection'!$B$210=3,'Résultat - projection'!D69,IF('Résultat - projection'!$B$210=4,'Résultat - projection'!D108,IF('Résultat - projection'!$B$210=5,'Résultat - projection'!D152,IF('Résultat - projection'!$B$210=6,'Résultat - projection'!D190,'Clés de répartition'!I71)))))</f>
        <v>1.08950773451415E-2</v>
      </c>
      <c r="E71" s="149">
        <f>IF('Résultat - projection'!$B$210=2,'Résultat - projection'!E30,IF('Résultat - projection'!$B$210=3,'Résultat - projection'!E69,IF('Résultat - projection'!$B$210=4,'Résultat - projection'!E108,IF('Résultat - projection'!$B$210=5,'Résultat - projection'!E152,IF('Résultat - projection'!$B$210=6,'Résultat - projection'!E190,'Clés de répartition'!J71)))))</f>
        <v>5.86661948062202E-2</v>
      </c>
      <c r="F71" s="608">
        <f>IF('Résultat - projection'!$B$210=2,'Résultat - projection'!F30,IF('Résultat - projection'!$B$210=3,'Résultat - projection'!F69,IF('Résultat - projection'!$B$210=4,'Résultat - projection'!F108,IF('Résultat - projection'!$B$210=5,'Résultat - projection'!F152,IF('Résultat - projection'!$B$210=6,'Résultat - projection'!F190,'Clés de répartition'!K71)))))</f>
        <v>1.2685301008210299</v>
      </c>
      <c r="G71" s="603">
        <v>0.61841162414560502</v>
      </c>
      <c r="H71" s="601">
        <v>0.31202710370303099</v>
      </c>
      <c r="I71" s="601">
        <v>1.08950773451415E-2</v>
      </c>
      <c r="J71" s="601">
        <v>5.86661948062202E-2</v>
      </c>
      <c r="K71" s="249">
        <v>1.2685301008210299</v>
      </c>
      <c r="R71" s="635" cm="1">
        <f t="array" ref="R71">G71*O114/SUM($G71:$J71*$O114:$R114)</f>
        <v>0.68184034656860149</v>
      </c>
      <c r="S71" s="635" cm="1">
        <f t="array" ref="S71">H71*P114/SUM($G71:$J71*$O114:$R114)</f>
        <v>0.30720139698581772</v>
      </c>
      <c r="T71" s="635" cm="1">
        <f t="array" ref="T71">I71*Q114/SUM($G71:$J71*$O114:$R114)</f>
        <v>7.1964803384942664E-3</v>
      </c>
      <c r="U71" s="635" cm="1">
        <f t="array" ref="U71">J71*R114/SUM($G71:$J71*$O114:$R114)</f>
        <v>3.7617761070866131E-3</v>
      </c>
      <c r="V71" s="615"/>
    </row>
    <row r="72" spans="1:22" ht="17">
      <c r="A72" s="66" t="e" vm="21">
        <v>#VALUE!</v>
      </c>
      <c r="B72" s="149">
        <f>IF('Résultat - projection'!$B$210=2,'Résultat - projection'!B31,IF('Résultat - projection'!$B$210=3,'Résultat - projection'!B70,IF('Résultat - projection'!$B$210=4,'Résultat - projection'!B109,IF('Résultat - projection'!$B$210=5,'Résultat - projection'!B153,IF('Résultat - projection'!$B$210=6,'Résultat - projection'!B191,'Clés de répartition'!G72)))))</f>
        <v>0.59466181986613398</v>
      </c>
      <c r="C72" s="149">
        <f>IF('Résultat - projection'!$B$210=2,'Résultat - projection'!C31,IF('Résultat - projection'!$B$210=3,'Résultat - projection'!C70,IF('Résultat - projection'!$B$210=4,'Résultat - projection'!C109,IF('Résultat - projection'!$B$210=5,'Résultat - projection'!C153,IF('Résultat - projection'!$B$210=6,'Résultat - projection'!C191,'Clés de répartition'!H72)))))</f>
        <v>0.29636194091712098</v>
      </c>
      <c r="D72" s="149">
        <f>IF('Résultat - projection'!$B$210=2,'Résultat - projection'!D31,IF('Résultat - projection'!$B$210=3,'Résultat - projection'!D70,IF('Résultat - projection'!$B$210=4,'Résultat - projection'!D109,IF('Résultat - projection'!$B$210=5,'Résultat - projection'!D153,IF('Résultat - projection'!$B$210=6,'Résultat - projection'!D191,'Clés de répartition'!I72)))))</f>
        <v>1.42562659061148E-2</v>
      </c>
      <c r="E72" s="149">
        <f>IF('Résultat - projection'!$B$210=2,'Résultat - projection'!E31,IF('Résultat - projection'!$B$210=3,'Résultat - projection'!E70,IF('Résultat - projection'!$B$210=4,'Résultat - projection'!E109,IF('Résultat - projection'!$B$210=5,'Résultat - projection'!E153,IF('Résultat - projection'!$B$210=6,'Résultat - projection'!E191,'Clés de répartition'!J72)))))</f>
        <v>9.4719973310629701E-2</v>
      </c>
      <c r="F72" s="608">
        <f>IF('Résultat - projection'!$B$210=2,'Résultat - projection'!F31,IF('Résultat - projection'!$B$210=3,'Résultat - projection'!F70,IF('Résultat - projection'!$B$210=4,'Résultat - projection'!F109,IF('Résultat - projection'!$B$210=5,'Résultat - projection'!F153,IF('Résultat - projection'!$B$210=6,'Résultat - projection'!F191,'Clés de répartition'!K72)))))</f>
        <v>1.2423881036042801</v>
      </c>
      <c r="G72" s="603">
        <v>0.59466181986613398</v>
      </c>
      <c r="H72" s="601">
        <v>0.29636194091712098</v>
      </c>
      <c r="I72" s="601">
        <v>1.42562659061148E-2</v>
      </c>
      <c r="J72" s="601">
        <v>9.4719973310629701E-2</v>
      </c>
      <c r="K72" s="249">
        <v>1.2423881036042801</v>
      </c>
      <c r="R72" s="635" cm="1">
        <f t="array" ref="R72">G72*O115/SUM($G72:$J72*$O115:$R115)</f>
        <v>0.66004308049452787</v>
      </c>
      <c r="S72" s="635" cm="1">
        <f t="array" ref="S72">H72*P115/SUM($G72:$J72*$O115:$R115)</f>
        <v>0.32305549607459139</v>
      </c>
      <c r="T72" s="635" cm="1">
        <f t="array" ref="T72">I72*Q115/SUM($G72:$J72*$O115:$R115)</f>
        <v>9.9249063345781784E-3</v>
      </c>
      <c r="U72" s="635" cm="1">
        <f t="array" ref="U72">J72*R115/SUM($G72:$J72*$O115:$R115)</f>
        <v>6.9765170963023582E-3</v>
      </c>
      <c r="V72" s="615"/>
    </row>
    <row r="73" spans="1:22">
      <c r="A73" s="63" t="e" vm="22">
        <v>#VALUE!</v>
      </c>
      <c r="B73" s="149">
        <f>IF('Résultat - projection'!$B$210=2,'Résultat - projection'!B32,IF('Résultat - projection'!$B$210=3,'Résultat - projection'!B71,IF('Résultat - projection'!$B$210=4,'Résultat - projection'!B110,IF('Résultat - projection'!$B$210=5,'Résultat - projection'!B154,IF('Résultat - projection'!$B$210=6,'Résultat - projection'!B192,'Clés de répartition'!G73)))))</f>
        <v>0.41202984245027502</v>
      </c>
      <c r="C73" s="149">
        <f>IF('Résultat - projection'!$B$210=2,'Résultat - projection'!C32,IF('Résultat - projection'!$B$210=3,'Résultat - projection'!C71,IF('Résultat - projection'!$B$210=4,'Résultat - projection'!C110,IF('Résultat - projection'!$B$210=5,'Résultat - projection'!C154,IF('Résultat - projection'!$B$210=6,'Résultat - projection'!C192,'Clés de répartition'!H73)))))</f>
        <v>0.448212722656953</v>
      </c>
      <c r="D73" s="149">
        <f>IF('Résultat - projection'!$B$210=2,'Résultat - projection'!D32,IF('Résultat - projection'!$B$210=3,'Résultat - projection'!D71,IF('Résultat - projection'!$B$210=4,'Résultat - projection'!D110,IF('Résultat - projection'!$B$210=5,'Résultat - projection'!D154,IF('Résultat - projection'!$B$210=6,'Résultat - projection'!D192,'Clés de répartition'!I73)))))</f>
        <v>3.8415887747321499E-2</v>
      </c>
      <c r="E73" s="149">
        <f>IF('Résultat - projection'!$B$210=2,'Résultat - projection'!E32,IF('Résultat - projection'!$B$210=3,'Résultat - projection'!E71,IF('Résultat - projection'!$B$210=4,'Résultat - projection'!E110,IF('Résultat - projection'!$B$210=5,'Résultat - projection'!E154,IF('Résultat - projection'!$B$210=6,'Résultat - projection'!E192,'Clés de répartition'!J73)))))</f>
        <v>0.101341547145451</v>
      </c>
      <c r="F73" s="608">
        <f>IF('Résultat - projection'!$B$210=2,'Résultat - projection'!F32,IF('Résultat - projection'!$B$210=3,'Résultat - projection'!F71,IF('Résultat - projection'!$B$210=4,'Résultat - projection'!F110,IF('Résultat - projection'!$B$210=5,'Résultat - projection'!F154,IF('Résultat - projection'!$B$210=6,'Résultat - projection'!F192,'Clés de répartition'!K73)))))</f>
        <v>1.2319927716349199</v>
      </c>
      <c r="G73" s="603">
        <v>0.41202984245027502</v>
      </c>
      <c r="H73" s="601">
        <v>0.448212722656953</v>
      </c>
      <c r="I73" s="601">
        <v>3.8415887747321499E-2</v>
      </c>
      <c r="J73" s="601">
        <v>0.101341547145451</v>
      </c>
      <c r="K73" s="249">
        <v>1.2319927716349199</v>
      </c>
      <c r="M73" s="20"/>
      <c r="P73" s="116"/>
      <c r="R73" s="635" cm="1">
        <f t="array" ref="R73">G73*O116/SUM($G73:$J73*$O116:$R116)</f>
        <v>0.4997846320907679</v>
      </c>
      <c r="S73" s="635" cm="1">
        <f t="array" ref="S73">H73*P116/SUM($G73:$J73*$O116:$R116)</f>
        <v>0.4662807800242772</v>
      </c>
      <c r="T73" s="635" cm="1">
        <f t="array" ref="T73">I73*Q116/SUM($G73:$J73*$O116:$R116)</f>
        <v>2.2219212014214985E-2</v>
      </c>
      <c r="U73" s="635" cm="1">
        <f t="array" ref="U73">J73*R116/SUM($G73:$J73*$O116:$R116)</f>
        <v>1.1715375870739952E-2</v>
      </c>
      <c r="V73" s="615"/>
    </row>
    <row r="74" spans="1:22">
      <c r="A74" s="63" t="e" vm="23">
        <v>#VALUE!</v>
      </c>
      <c r="B74" s="149">
        <f>IF('Résultat - projection'!$B$210=2,'Résultat - projection'!B33,IF('Résultat - projection'!$B$210=3,'Résultat - projection'!B72,IF('Résultat - projection'!$B$210=4,'Résultat - projection'!B111,IF('Résultat - projection'!$B$210=5,'Résultat - projection'!B155,IF('Résultat - projection'!$B$210=6,'Résultat - projection'!B193,'Clés de répartition'!G74)))))</f>
        <v>0.50124135980403595</v>
      </c>
      <c r="C74" s="149">
        <f>IF('Résultat - projection'!$B$210=2,'Résultat - projection'!C33,IF('Résultat - projection'!$B$210=3,'Résultat - projection'!C72,IF('Résultat - projection'!$B$210=4,'Résultat - projection'!C111,IF('Résultat - projection'!$B$210=5,'Résultat - projection'!C155,IF('Résultat - projection'!$B$210=6,'Résultat - projection'!C193,'Clés de répartition'!H74)))))</f>
        <v>0.349976604470641</v>
      </c>
      <c r="D74" s="149">
        <f>IF('Résultat - projection'!$B$210=2,'Résultat - projection'!D33,IF('Résultat - projection'!$B$210=3,'Résultat - projection'!D72,IF('Résultat - projection'!$B$210=4,'Résultat - projection'!D111,IF('Résultat - projection'!$B$210=5,'Résultat - projection'!D155,IF('Résultat - projection'!$B$210=6,'Résultat - projection'!D193,'Clés de répartition'!I74)))))</f>
        <v>7.7735574648325097E-3</v>
      </c>
      <c r="E74" s="149">
        <f>IF('Résultat - projection'!$B$210=2,'Résultat - projection'!E33,IF('Résultat - projection'!$B$210=3,'Résultat - projection'!E72,IF('Résultat - projection'!$B$210=4,'Résultat - projection'!E111,IF('Résultat - projection'!$B$210=5,'Résultat - projection'!E155,IF('Résultat - projection'!$B$210=6,'Résultat - projection'!E193,'Clés de répartition'!J74)))))</f>
        <v>0.14100847826049001</v>
      </c>
      <c r="F74" s="608">
        <f>IF('Résultat - projection'!$B$210=2,'Résultat - projection'!F33,IF('Résultat - projection'!$B$210=3,'Résultat - projection'!F72,IF('Résultat - projection'!$B$210=4,'Résultat - projection'!F111,IF('Résultat - projection'!$B$210=5,'Résultat - projection'!F155,IF('Résultat - projection'!$B$210=6,'Résultat - projection'!F193,'Clés de répartition'!K74)))))</f>
        <v>1.2829842548803401</v>
      </c>
      <c r="G74" s="603">
        <v>0.50124135980403595</v>
      </c>
      <c r="H74" s="601">
        <v>0.349976604470641</v>
      </c>
      <c r="I74" s="601">
        <v>7.7735574648325097E-3</v>
      </c>
      <c r="J74" s="601">
        <v>0.14100847826049001</v>
      </c>
      <c r="K74" s="249">
        <v>1.2829842548803401</v>
      </c>
      <c r="M74" s="20"/>
      <c r="P74" s="116"/>
      <c r="R74" s="635" cm="1">
        <f t="array" ref="R74">G74*O117/SUM($G74:$J74*$O117:$R117)</f>
        <v>0.58024564837626058</v>
      </c>
      <c r="S74" s="635" cm="1">
        <f t="array" ref="S74">H74*P117/SUM($G74:$J74*$O117:$R117)</f>
        <v>0.39968490970564224</v>
      </c>
      <c r="T74" s="635" cm="1">
        <f t="array" ref="T74">I74*Q117/SUM($G74:$J74*$O117:$R117)</f>
        <v>7.6807515252015623E-3</v>
      </c>
      <c r="U74" s="635" cm="1">
        <f t="array" ref="U74">J74*R117/SUM($G74:$J74*$O117:$R117)</f>
        <v>1.2388690392895713E-2</v>
      </c>
      <c r="V74" s="615"/>
    </row>
    <row r="75" spans="1:22">
      <c r="A75" s="63" t="e" vm="24">
        <v>#VALUE!</v>
      </c>
      <c r="B75" s="149">
        <f>IF('Résultat - projection'!$B$210=2,'Résultat - projection'!B34,IF('Résultat - projection'!$B$210=3,'Résultat - projection'!B73,IF('Résultat - projection'!$B$210=4,'Résultat - projection'!B112,IF('Résultat - projection'!$B$210=5,'Résultat - projection'!B156,IF('Résultat - projection'!$B$210=6,'Résultat - projection'!B194,'Clés de répartition'!G75)))))</f>
        <v>0.321652339524925</v>
      </c>
      <c r="C75" s="149">
        <f>IF('Résultat - projection'!$B$210=2,'Résultat - projection'!C34,IF('Résultat - projection'!$B$210=3,'Résultat - projection'!C73,IF('Résultat - projection'!$B$210=4,'Résultat - projection'!C112,IF('Résultat - projection'!$B$210=5,'Résultat - projection'!C156,IF('Résultat - projection'!$B$210=6,'Résultat - projection'!C194,'Clés de répartition'!H75)))))</f>
        <v>0.37393864583256298</v>
      </c>
      <c r="D75" s="149">
        <f>IF('Résultat - projection'!$B$210=2,'Résultat - projection'!D34,IF('Résultat - projection'!$B$210=3,'Résultat - projection'!D73,IF('Résultat - projection'!$B$210=4,'Résultat - projection'!D112,IF('Résultat - projection'!$B$210=5,'Résultat - projection'!D156,IF('Résultat - projection'!$B$210=6,'Résultat - projection'!D194,'Clés de répartition'!I75)))))</f>
        <v>8.3443835879696296E-2</v>
      </c>
      <c r="E75" s="149">
        <f>IF('Résultat - projection'!$B$210=2,'Résultat - projection'!E34,IF('Résultat - projection'!$B$210=3,'Résultat - projection'!E73,IF('Résultat - projection'!$B$210=4,'Résultat - projection'!E112,IF('Résultat - projection'!$B$210=5,'Résultat - projection'!E156,IF('Résultat - projection'!$B$210=6,'Résultat - projection'!E194,'Clés de répartition'!J75)))))</f>
        <v>0.22096517876281499</v>
      </c>
      <c r="F75" s="608">
        <f>IF('Résultat - projection'!$B$210=2,'Résultat - projection'!F34,IF('Résultat - projection'!$B$210=3,'Résultat - projection'!F73,IF('Résultat - projection'!$B$210=4,'Résultat - projection'!F112,IF('Résultat - projection'!$B$210=5,'Résultat - projection'!F156,IF('Résultat - projection'!$B$210=6,'Résultat - projection'!F194,'Clés de répartition'!K75)))))</f>
        <v>1.2423016314070601</v>
      </c>
      <c r="G75" s="603">
        <v>0.321652339524925</v>
      </c>
      <c r="H75" s="601">
        <v>0.37393864583256298</v>
      </c>
      <c r="I75" s="601">
        <v>8.3443835879696296E-2</v>
      </c>
      <c r="J75" s="601">
        <v>0.22096517876281499</v>
      </c>
      <c r="K75" s="249">
        <v>1.2423016314070601</v>
      </c>
      <c r="M75" s="20"/>
      <c r="P75" s="116"/>
      <c r="R75" s="635" cm="1">
        <f t="array" ref="R75">G75*O118/SUM($G75:$J75*$O118:$R118)</f>
        <v>0.50429578424483867</v>
      </c>
      <c r="S75" s="635" cm="1">
        <f t="array" ref="S75">H75*P118/SUM($G75:$J75*$O118:$R118)</f>
        <v>0.37197946957041533</v>
      </c>
      <c r="T75" s="635" cm="1">
        <f t="array" ref="T75">I75*Q118/SUM($G75:$J75*$O118:$R118)</f>
        <v>7.2954456524119804E-2</v>
      </c>
      <c r="U75" s="635" cm="1">
        <f t="array" ref="U75">J75*R118/SUM($G75:$J75*$O118:$R118)</f>
        <v>5.0770289660626147E-2</v>
      </c>
      <c r="V75" s="615"/>
    </row>
    <row r="76" spans="1:22">
      <c r="A76" s="63" t="e" vm="25">
        <v>#VALUE!</v>
      </c>
      <c r="B76" s="149">
        <f>IF('Résultat - projection'!$B$210=2,'Résultat - projection'!B35,IF('Résultat - projection'!$B$210=3,'Résultat - projection'!B74,IF('Résultat - projection'!$B$210=4,'Résultat - projection'!B113,IF('Résultat - projection'!$B$210=5,'Résultat - projection'!B157,IF('Résultat - projection'!$B$210=6,'Résultat - projection'!B195,'Clés de répartition'!G76)))))</f>
        <v>0.70132796883650195</v>
      </c>
      <c r="C76" s="149">
        <f>IF('Résultat - projection'!$B$210=2,'Résultat - projection'!C35,IF('Résultat - projection'!$B$210=3,'Résultat - projection'!C74,IF('Résultat - projection'!$B$210=4,'Résultat - projection'!C113,IF('Résultat - projection'!$B$210=5,'Résultat - projection'!C157,IF('Résultat - projection'!$B$210=6,'Résultat - projection'!C195,'Clés de répartition'!H76)))))</f>
        <v>0.25760827594334901</v>
      </c>
      <c r="D76" s="149">
        <f>IF('Résultat - projection'!$B$210=2,'Résultat - projection'!D35,IF('Résultat - projection'!$B$210=3,'Résultat - projection'!D74,IF('Résultat - projection'!$B$210=4,'Résultat - projection'!D113,IF('Résultat - projection'!$B$210=5,'Résultat - projection'!D157,IF('Résultat - projection'!$B$210=6,'Résultat - projection'!D195,'Clés de répartition'!I76)))))</f>
        <v>2.96771222146926E-3</v>
      </c>
      <c r="E76" s="149">
        <f>IF('Résultat - projection'!$B$210=2,'Résultat - projection'!E35,IF('Résultat - projection'!$B$210=3,'Résultat - projection'!E74,IF('Résultat - projection'!$B$210=4,'Résultat - projection'!E113,IF('Résultat - projection'!$B$210=5,'Résultat - projection'!E157,IF('Résultat - projection'!$B$210=6,'Résultat - projection'!E195,'Clés de répartition'!J76)))))</f>
        <v>3.8096042998680399E-2</v>
      </c>
      <c r="F76" s="608">
        <f>IF('Résultat - projection'!$B$210=2,'Résultat - projection'!F35,IF('Résultat - projection'!$B$210=3,'Résultat - projection'!F74,IF('Résultat - projection'!$B$210=4,'Résultat - projection'!F113,IF('Résultat - projection'!$B$210=5,'Résultat - projection'!F157,IF('Résultat - projection'!$B$210=6,'Résultat - projection'!F195,'Clés de répartition'!K76)))))</f>
        <v>1.311674685971</v>
      </c>
      <c r="G76" s="603">
        <v>0.70132796883650195</v>
      </c>
      <c r="H76" s="601">
        <v>0.25760827594334901</v>
      </c>
      <c r="I76" s="601">
        <v>2.96771222146926E-3</v>
      </c>
      <c r="J76" s="601">
        <v>3.8096042998680399E-2</v>
      </c>
      <c r="K76" s="249">
        <v>1.311674685971</v>
      </c>
      <c r="M76" s="20"/>
      <c r="P76" s="116"/>
      <c r="R76" s="635" cm="1">
        <f t="array" ref="R76">G76*O119/SUM($G76:$J76*$O119:$R119)</f>
        <v>0.69786071921962911</v>
      </c>
      <c r="S76" s="635" cm="1">
        <f t="array" ref="S76">H76*P119/SUM($G76:$J76*$O119:$R119)</f>
        <v>0.29831797780569302</v>
      </c>
      <c r="T76" s="635" cm="1">
        <f t="array" ref="T76">I76*Q119/SUM($G76:$J76*$O119:$R119)</f>
        <v>6.7604870927286359E-4</v>
      </c>
      <c r="U76" s="635" cm="1">
        <f t="array" ref="U76">J76*R119/SUM($G76:$J76*$O119:$R119)</f>
        <v>3.1452542654048579E-3</v>
      </c>
      <c r="V76" s="615"/>
    </row>
    <row r="77" spans="1:22">
      <c r="A77" s="63" t="e" vm="26">
        <v>#VALUE!</v>
      </c>
      <c r="B77" s="149">
        <f>IF('Résultat - projection'!$B$210=2,'Résultat - projection'!B36,IF('Résultat - projection'!$B$210=3,'Résultat - projection'!B75,IF('Résultat - projection'!$B$210=4,'Résultat - projection'!B114,IF('Résultat - projection'!$B$210=5,'Résultat - projection'!B158,IF('Résultat - projection'!$B$210=6,'Résultat - projection'!B196,'Clés de répartition'!G77)))))</f>
        <v>0.237898776085503</v>
      </c>
      <c r="C77" s="149">
        <f>IF('Résultat - projection'!$B$210=2,'Résultat - projection'!C36,IF('Résultat - projection'!$B$210=3,'Résultat - projection'!C75,IF('Résultat - projection'!$B$210=4,'Résultat - projection'!C114,IF('Résultat - projection'!$B$210=5,'Résultat - projection'!C158,IF('Résultat - projection'!$B$210=6,'Résultat - projection'!C196,'Clés de répartition'!H77)))))</f>
        <v>0.411139964029344</v>
      </c>
      <c r="D77" s="149">
        <f>IF('Résultat - projection'!$B$210=2,'Résultat - projection'!D36,IF('Résultat - projection'!$B$210=3,'Résultat - projection'!D75,IF('Résultat - projection'!$B$210=4,'Résultat - projection'!D114,IF('Résultat - projection'!$B$210=5,'Résultat - projection'!D158,IF('Résultat - projection'!$B$210=6,'Résultat - projection'!D196,'Clés de répartition'!I77)))))</f>
        <v>0.11462664415782001</v>
      </c>
      <c r="E77" s="149">
        <f>IF('Résultat - projection'!$B$210=2,'Résultat - projection'!E36,IF('Résultat - projection'!$B$210=3,'Résultat - projection'!E75,IF('Résultat - projection'!$B$210=4,'Résultat - projection'!E114,IF('Résultat - projection'!$B$210=5,'Résultat - projection'!E158,IF('Résultat - projection'!$B$210=6,'Résultat - projection'!E196,'Clés de répartition'!J77)))))</f>
        <v>0.236334615727334</v>
      </c>
      <c r="F77" s="608">
        <f>IF('Résultat - projection'!$B$210=2,'Résultat - projection'!F36,IF('Résultat - projection'!$B$210=3,'Résultat - projection'!F75,IF('Résultat - projection'!$B$210=4,'Résultat - projection'!F114,IF('Résultat - projection'!$B$210=5,'Résultat - projection'!F158,IF('Résultat - projection'!$B$210=6,'Résultat - projection'!F196,'Clés de répartition'!K77)))))</f>
        <v>1.1481527030890799</v>
      </c>
      <c r="G77" s="603">
        <v>0.237898776085503</v>
      </c>
      <c r="H77" s="601">
        <v>0.411139964029344</v>
      </c>
      <c r="I77" s="601">
        <v>0.11462664415782001</v>
      </c>
      <c r="J77" s="601">
        <v>0.236334615727334</v>
      </c>
      <c r="K77" s="249">
        <v>1.1481527030890799</v>
      </c>
      <c r="M77" s="20"/>
      <c r="P77" s="116"/>
      <c r="R77" s="635" cm="1">
        <f t="array" ref="R77">G77*O120/SUM($G77:$J77*$O120:$R120)</f>
        <v>0.41759489721335091</v>
      </c>
      <c r="S77" s="635" cm="1">
        <f t="array" ref="S77">H77*P120/SUM($G77:$J77*$O120:$R120)</f>
        <v>0.44914696914968089</v>
      </c>
      <c r="T77" s="635" cm="1">
        <f t="array" ref="T77">I77*Q120/SUM($G77:$J77*$O120:$R120)</f>
        <v>7.6997269983671596E-2</v>
      </c>
      <c r="U77" s="635" cm="1">
        <f t="array" ref="U77">J77*R120/SUM($G77:$J77*$O120:$R120)</f>
        <v>5.6260863653296821E-2</v>
      </c>
      <c r="V77" s="615"/>
    </row>
    <row r="78" spans="1:22">
      <c r="A78" s="63" t="e" vm="27">
        <v>#VALUE!</v>
      </c>
      <c r="B78" s="149">
        <f>IF('Résultat - projection'!$B$210=2,'Résultat - projection'!B37,IF('Résultat - projection'!$B$210=3,'Résultat - projection'!B76,IF('Résultat - projection'!$B$210=4,'Résultat - projection'!B115,IF('Résultat - projection'!$B$210=5,'Résultat - projection'!B159,IF('Résultat - projection'!$B$210=6,'Résultat - projection'!B197,'Clés de répartition'!G78)))))</f>
        <v>0.63517650931180103</v>
      </c>
      <c r="C78" s="149">
        <f>IF('Résultat - projection'!$B$210=2,'Résultat - projection'!C37,IF('Résultat - projection'!$B$210=3,'Résultat - projection'!C76,IF('Résultat - projection'!$B$210=4,'Résultat - projection'!C115,IF('Résultat - projection'!$B$210=5,'Résultat - projection'!C159,IF('Résultat - projection'!$B$210=6,'Résultat - projection'!C197,'Clés de répartition'!H78)))))</f>
        <v>0.32003086523167701</v>
      </c>
      <c r="D78" s="149">
        <f>IF('Résultat - projection'!$B$210=2,'Résultat - projection'!D37,IF('Résultat - projection'!$B$210=3,'Résultat - projection'!D76,IF('Résultat - projection'!$B$210=4,'Résultat - projection'!D115,IF('Résultat - projection'!$B$210=5,'Résultat - projection'!D159,IF('Résultat - projection'!$B$210=6,'Résultat - projection'!D197,'Clés de répartition'!I78)))))</f>
        <v>2.6375385076286002E-3</v>
      </c>
      <c r="E78" s="149">
        <f>IF('Résultat - projection'!$B$210=2,'Résultat - projection'!E37,IF('Résultat - projection'!$B$210=3,'Résultat - projection'!E76,IF('Résultat - projection'!$B$210=4,'Résultat - projection'!E115,IF('Résultat - projection'!$B$210=5,'Résultat - projection'!E159,IF('Résultat - projection'!$B$210=6,'Résultat - projection'!E197,'Clés de répartition'!J78)))))</f>
        <v>4.2155086948894999E-2</v>
      </c>
      <c r="F78" s="608">
        <f>IF('Résultat - projection'!$B$210=2,'Résultat - projection'!F37,IF('Résultat - projection'!$B$210=3,'Résultat - projection'!F76,IF('Résultat - projection'!$B$210=4,'Résultat - projection'!F115,IF('Résultat - projection'!$B$210=5,'Résultat - projection'!F159,IF('Résultat - projection'!$B$210=6,'Résultat - projection'!F197,'Clés de répartition'!K78)))))</f>
        <v>1.24309574689677</v>
      </c>
      <c r="G78" s="603">
        <v>0.63517650931180103</v>
      </c>
      <c r="H78" s="601">
        <v>0.32003086523167701</v>
      </c>
      <c r="I78" s="601">
        <v>2.6375385076286002E-3</v>
      </c>
      <c r="J78" s="601">
        <v>4.2155086948894999E-2</v>
      </c>
      <c r="K78" s="249">
        <v>1.24309574689677</v>
      </c>
      <c r="M78" s="20"/>
      <c r="P78" s="116"/>
      <c r="R78" s="635" cm="1">
        <f t="array" ref="R78">G78*O121/SUM($G78:$J78*$O121:$R121)</f>
        <v>0.68181727094161737</v>
      </c>
      <c r="S78" s="635" cm="1">
        <f t="array" ref="S78">H78*P121/SUM($G78:$J78*$O121:$R121)</f>
        <v>0.3135544743139228</v>
      </c>
      <c r="T78" s="635" cm="1">
        <f t="array" ref="T78">I78*Q121/SUM($G78:$J78*$O121:$R121)</f>
        <v>1.7627428318521313E-3</v>
      </c>
      <c r="U78" s="635" cm="1">
        <f t="array" ref="U78">J78*R121/SUM($G78:$J78*$O121:$R121)</f>
        <v>2.8655119126077275E-3</v>
      </c>
      <c r="V78" s="615"/>
    </row>
    <row r="79" spans="1:22">
      <c r="A79" s="63" t="e" vm="28">
        <v>#VALUE!</v>
      </c>
      <c r="B79" s="149">
        <f>IF('Résultat - projection'!$B$210=2,'Résultat - projection'!B38,IF('Résultat - projection'!$B$210=3,'Résultat - projection'!B77,IF('Résultat - projection'!$B$210=4,'Résultat - projection'!B116,IF('Résultat - projection'!$B$210=5,'Résultat - projection'!B160,IF('Résultat - projection'!$B$210=6,'Résultat - projection'!B198,'Clés de répartition'!G79)))))</f>
        <v>0.36766320743720199</v>
      </c>
      <c r="C79" s="149">
        <f>IF('Résultat - projection'!$B$210=2,'Résultat - projection'!C38,IF('Résultat - projection'!$B$210=3,'Résultat - projection'!C77,IF('Résultat - projection'!$B$210=4,'Résultat - projection'!C116,IF('Résultat - projection'!$B$210=5,'Résultat - projection'!C160,IF('Résultat - projection'!$B$210=6,'Résultat - projection'!C198,'Clés de répartition'!H79)))))</f>
        <v>0.426364665615664</v>
      </c>
      <c r="D79" s="149">
        <f>IF('Résultat - projection'!$B$210=2,'Résultat - projection'!D38,IF('Résultat - projection'!$B$210=3,'Résultat - projection'!D77,IF('Résultat - projection'!$B$210=4,'Résultat - projection'!D116,IF('Résultat - projection'!$B$210=5,'Résultat - projection'!D160,IF('Résultat - projection'!$B$210=6,'Résultat - projection'!D198,'Clés de répartition'!I79)))))</f>
        <v>7.1681298936211099E-2</v>
      </c>
      <c r="E79" s="149">
        <f>IF('Résultat - projection'!$B$210=2,'Résultat - projection'!E38,IF('Résultat - projection'!$B$210=3,'Résultat - projection'!E77,IF('Résultat - projection'!$B$210=4,'Résultat - projection'!E116,IF('Résultat - projection'!$B$210=5,'Résultat - projection'!E160,IF('Résultat - projection'!$B$210=6,'Résultat - projection'!E198,'Clés de répartition'!J79)))))</f>
        <v>0.13429082801092601</v>
      </c>
      <c r="F79" s="608">
        <f>IF('Résultat - projection'!$B$210=2,'Résultat - projection'!F38,IF('Résultat - projection'!$B$210=3,'Résultat - projection'!F77,IF('Résultat - projection'!$B$210=4,'Résultat - projection'!F116,IF('Résultat - projection'!$B$210=5,'Résultat - projection'!F160,IF('Résultat - projection'!$B$210=6,'Résultat - projection'!F198,'Clés de répartition'!K79)))))</f>
        <v>1.2040219761240101</v>
      </c>
      <c r="G79" s="603">
        <v>0.36766320743720199</v>
      </c>
      <c r="H79" s="601">
        <v>0.426364665615664</v>
      </c>
      <c r="I79" s="601">
        <v>7.1681298936211099E-2</v>
      </c>
      <c r="J79" s="601">
        <v>0.13429082801092601</v>
      </c>
      <c r="K79" s="249">
        <v>1.2040219761240101</v>
      </c>
      <c r="M79" s="20"/>
      <c r="P79" s="116"/>
      <c r="R79" s="635" cm="1">
        <f t="array" ref="R79">G79*O122/SUM($G79:$J79*$O122:$R122)</f>
        <v>0.50237886396533449</v>
      </c>
      <c r="S79" s="635" cm="1">
        <f t="array" ref="S79">H79*P122/SUM($G79:$J79*$O122:$R122)</f>
        <v>0.4281515179113029</v>
      </c>
      <c r="T79" s="635" cm="1">
        <f t="array" ref="T79">I79*Q122/SUM($G79:$J79*$O122:$R122)</f>
        <v>4.8698852528885166E-2</v>
      </c>
      <c r="U79" s="635" cm="1">
        <f t="array" ref="U79">J79*R122/SUM($G79:$J79*$O122:$R122)</f>
        <v>2.0770765594477415E-2</v>
      </c>
      <c r="V79" s="615"/>
    </row>
    <row r="80" spans="1:22">
      <c r="A80" s="63" t="e" vm="29">
        <v>#VALUE!</v>
      </c>
      <c r="B80" s="149">
        <f>IF('Résultat - projection'!$B$210=2,'Résultat - projection'!B39,IF('Résultat - projection'!$B$210=3,'Résultat - projection'!B78,IF('Résultat - projection'!$B$210=4,'Résultat - projection'!B117,IF('Résultat - projection'!$B$210=5,'Résultat - projection'!B161,IF('Résultat - projection'!$B$210=6,'Résultat - projection'!B199,'Clés de répartition'!G80)))))</f>
        <v>0.54135443517009196</v>
      </c>
      <c r="C80" s="149">
        <f>IF('Résultat - projection'!$B$210=2,'Résultat - projection'!C39,IF('Résultat - projection'!$B$210=3,'Résultat - projection'!C78,IF('Résultat - projection'!$B$210=4,'Résultat - projection'!C117,IF('Résultat - projection'!$B$210=5,'Résultat - projection'!C161,IF('Résultat - projection'!$B$210=6,'Résultat - projection'!C199,'Clés de répartition'!H80)))))</f>
        <v>0.37089687087651002</v>
      </c>
      <c r="D80" s="149">
        <f>IF('Résultat - projection'!$B$210=2,'Résultat - projection'!D39,IF('Résultat - projection'!$B$210=3,'Résultat - projection'!D78,IF('Résultat - projection'!$B$210=4,'Résultat - projection'!D117,IF('Résultat - projection'!$B$210=5,'Résultat - projection'!D161,IF('Résultat - projection'!$B$210=6,'Résultat - projection'!D199,'Clés de répartition'!I80)))))</f>
        <v>1.3216320664044399E-2</v>
      </c>
      <c r="E80" s="149">
        <f>IF('Résultat - projection'!$B$210=2,'Résultat - projection'!E39,IF('Résultat - projection'!$B$210=3,'Résultat - projection'!E78,IF('Résultat - projection'!$B$210=4,'Résultat - projection'!E117,IF('Résultat - projection'!$B$210=5,'Résultat - projection'!E161,IF('Résultat - projection'!$B$210=6,'Résultat - projection'!E199,'Clés de répartition'!J80)))))</f>
        <v>7.4532373289357995E-2</v>
      </c>
      <c r="F80" s="608">
        <f>IF('Résultat - projection'!$B$210=2,'Résultat - projection'!F39,IF('Résultat - projection'!$B$210=3,'Résultat - projection'!F78,IF('Résultat - projection'!$B$210=4,'Résultat - projection'!F117,IF('Résultat - projection'!$B$210=5,'Résultat - projection'!F161,IF('Résultat - projection'!$B$210=6,'Résultat - projection'!F199,'Clés de répartition'!K80)))))</f>
        <v>1.2727003236169701</v>
      </c>
      <c r="G80" s="603">
        <v>0.54135443517009196</v>
      </c>
      <c r="H80" s="601">
        <v>0.37089687087651002</v>
      </c>
      <c r="I80" s="601">
        <v>1.3216320664044399E-2</v>
      </c>
      <c r="J80" s="601">
        <v>7.4532373289357995E-2</v>
      </c>
      <c r="K80" s="249">
        <v>1.2727003236169701</v>
      </c>
      <c r="M80" s="20"/>
      <c r="P80" s="116"/>
      <c r="R80" s="635" cm="1">
        <f t="array" ref="R80">G80*O123/SUM($G80:$J80*$O123:$R123)</f>
        <v>0.59689879570527815</v>
      </c>
      <c r="S80" s="635" cm="1">
        <f t="array" ref="S80">H80*P123/SUM($G80:$J80*$O123:$R123)</f>
        <v>0.3886603431287986</v>
      </c>
      <c r="T80" s="635" cm="1">
        <f t="array" ref="T80">I80*Q123/SUM($G80:$J80*$O123:$R123)</f>
        <v>5.9095156006497033E-3</v>
      </c>
      <c r="U80" s="635" cm="1">
        <f t="array" ref="U80">J80*R123/SUM($G80:$J80*$O123:$R123)</f>
        <v>8.5313455652734679E-3</v>
      </c>
      <c r="V80" s="615"/>
    </row>
    <row r="81" spans="1:33">
      <c r="A81" s="63" t="e" vm="30">
        <v>#VALUE!</v>
      </c>
      <c r="B81" s="149">
        <f>IF('Résultat - projection'!$B$210=2,'Résultat - projection'!B40,IF('Résultat - projection'!$B$210=3,'Résultat - projection'!B79,IF('Résultat - projection'!$B$210=4,'Résultat - projection'!B118,IF('Résultat - projection'!$B$210=5,'Résultat - projection'!B162,IF('Résultat - projection'!$B$210=6,'Résultat - projection'!B200,'Clés de répartition'!G81)))))</f>
        <v>0.59260081640773499</v>
      </c>
      <c r="C81" s="149">
        <f>IF('Résultat - projection'!$B$210=2,'Résultat - projection'!C40,IF('Résultat - projection'!$B$210=3,'Résultat - projection'!C79,IF('Résultat - projection'!$B$210=4,'Résultat - projection'!C118,IF('Résultat - projection'!$B$210=5,'Résultat - projection'!C162,IF('Résultat - projection'!$B$210=6,'Résultat - projection'!C200,'Clés de répartition'!H81)))))</f>
        <v>0.338161605693234</v>
      </c>
      <c r="D81" s="149">
        <f>IF('Résultat - projection'!$B$210=2,'Résultat - projection'!D40,IF('Résultat - projection'!$B$210=3,'Résultat - projection'!D79,IF('Résultat - projection'!$B$210=4,'Résultat - projection'!D118,IF('Résultat - projection'!$B$210=5,'Résultat - projection'!D162,IF('Résultat - projection'!$B$210=6,'Résultat - projection'!D200,'Clés de répartition'!I81)))))</f>
        <v>2.80484728770024E-3</v>
      </c>
      <c r="E81" s="149">
        <f>IF('Résultat - projection'!$B$210=2,'Résultat - projection'!E40,IF('Résultat - projection'!$B$210=3,'Résultat - projection'!E79,IF('Résultat - projection'!$B$210=4,'Résultat - projection'!E118,IF('Résultat - projection'!$B$210=5,'Résultat - projection'!E162,IF('Résultat - projection'!$B$210=6,'Résultat - projection'!E200,'Clés de répartition'!J81)))))</f>
        <v>6.6432730611331495E-2</v>
      </c>
      <c r="F81" s="608">
        <f>IF('Résultat - projection'!$B$210=2,'Résultat - projection'!F40,IF('Résultat - projection'!$B$210=3,'Résultat - projection'!F79,IF('Résultat - projection'!$B$210=4,'Résultat - projection'!F118,IF('Résultat - projection'!$B$210=5,'Résultat - projection'!F162,IF('Résultat - projection'!$B$210=6,'Résultat - projection'!F200,'Clés de répartition'!K81)))))</f>
        <v>1.2918743956221499</v>
      </c>
      <c r="G81" s="603">
        <v>0.59260081640773499</v>
      </c>
      <c r="H81" s="601">
        <v>0.338161605693234</v>
      </c>
      <c r="I81" s="601">
        <v>2.80484728770024E-3</v>
      </c>
      <c r="J81" s="601">
        <v>6.6432730611331495E-2</v>
      </c>
      <c r="K81" s="249">
        <v>1.2918743956221499</v>
      </c>
      <c r="M81" s="20"/>
      <c r="P81" s="116"/>
      <c r="R81" s="635" cm="1">
        <f t="array" ref="R81">G81*O124/SUM($G81:$J81*$O124:$R124)</f>
        <v>0.6726846868054196</v>
      </c>
      <c r="S81" s="635" cm="1">
        <f t="array" ref="S81">H81*P124/SUM($G81:$J81*$O124:$R124)</f>
        <v>0.31928847456652382</v>
      </c>
      <c r="T81" s="635" cm="1">
        <f t="array" ref="T81">I81*Q124/SUM($G81:$J81*$O124:$R124)</f>
        <v>1.5317466958370504E-3</v>
      </c>
      <c r="U81" s="635" cm="1">
        <f t="array" ref="U81">J81*R124/SUM($G81:$J81*$O124:$R124)</f>
        <v>6.4950919322196276E-3</v>
      </c>
      <c r="V81" s="615"/>
    </row>
    <row r="82" spans="1:33">
      <c r="A82" s="63" t="e" vm="31">
        <v>#VALUE!</v>
      </c>
      <c r="B82" s="149">
        <f>IF('Résultat - projection'!$B$210=2,'Résultat - projection'!B41,IF('Résultat - projection'!$B$210=3,'Résultat - projection'!B80,IF('Résultat - projection'!$B$210=4,'Résultat - projection'!B119,IF('Résultat - projection'!$B$210=5,'Résultat - projection'!B163,IF('Résultat - projection'!$B$210=6,'Résultat - projection'!B201,'Clés de répartition'!G82)))))</f>
        <v>0.335750266936021</v>
      </c>
      <c r="C82" s="149">
        <f>IF('Résultat - projection'!$B$210=2,'Résultat - projection'!C41,IF('Résultat - projection'!$B$210=3,'Résultat - projection'!C80,IF('Résultat - projection'!$B$210=4,'Résultat - projection'!C119,IF('Résultat - projection'!$B$210=5,'Résultat - projection'!C163,IF('Résultat - projection'!$B$210=6,'Résultat - projection'!C201,'Clés de répartition'!H82)))))</f>
        <v>0.431452503990088</v>
      </c>
      <c r="D82" s="149">
        <f>IF('Résultat - projection'!$B$210=2,'Résultat - projection'!D41,IF('Résultat - projection'!$B$210=3,'Résultat - projection'!D80,IF('Résultat - projection'!$B$210=4,'Résultat - projection'!D119,IF('Résultat - projection'!$B$210=5,'Résultat - projection'!D163,IF('Résultat - projection'!$B$210=6,'Résultat - projection'!D201,'Clés de répartition'!I82)))))</f>
        <v>3.5068696496534497E-2</v>
      </c>
      <c r="E82" s="149">
        <f>IF('Résultat - projection'!$B$210=2,'Résultat - projection'!E41,IF('Résultat - projection'!$B$210=3,'Résultat - projection'!E80,IF('Résultat - projection'!$B$210=4,'Résultat - projection'!E119,IF('Résultat - projection'!$B$210=5,'Résultat - projection'!E163,IF('Résultat - projection'!$B$210=6,'Résultat - projection'!E201,'Clés de répartition'!J82)))))</f>
        <v>0.19772853257735501</v>
      </c>
      <c r="F82" s="608">
        <f>IF('Résultat - projection'!$B$210=2,'Résultat - projection'!F41,IF('Résultat - projection'!$B$210=3,'Résultat - projection'!F80,IF('Résultat - projection'!$B$210=4,'Résultat - projection'!F119,IF('Résultat - projection'!$B$210=5,'Résultat - projection'!F163,IF('Résultat - projection'!$B$210=6,'Résultat - projection'!F201,'Clés de répartition'!K82)))))</f>
        <v>1.18081152567166</v>
      </c>
      <c r="G82" s="603">
        <v>0.335750266936021</v>
      </c>
      <c r="H82" s="601">
        <v>0.431452503990088</v>
      </c>
      <c r="I82" s="601">
        <v>3.5068696496534497E-2</v>
      </c>
      <c r="J82" s="601">
        <v>0.19772853257735501</v>
      </c>
      <c r="K82" s="249">
        <v>1.18081152567166</v>
      </c>
      <c r="M82" s="20"/>
      <c r="P82" s="116"/>
      <c r="R82" s="635" cm="1">
        <f t="array" ref="R82">G82*O125/SUM($G82:$J82*$O125:$R125)</f>
        <v>0.52289268063721284</v>
      </c>
      <c r="S82" s="635" cm="1">
        <f t="array" ref="S82">H82*P125/SUM($G82:$J82*$O125:$R125)</f>
        <v>0.42834477045501235</v>
      </c>
      <c r="T82" s="635" cm="1">
        <f t="array" ref="T82">I82*Q125/SUM($G82:$J82*$O125:$R125)</f>
        <v>1.8883592585963963E-2</v>
      </c>
      <c r="U82" s="635" cm="1">
        <f t="array" ref="U82">J82*R125/SUM($G82:$J82*$O125:$R125)</f>
        <v>2.9878956321810687E-2</v>
      </c>
      <c r="V82" s="615"/>
    </row>
    <row r="83" spans="1:33">
      <c r="A83" s="63" t="e" vm="32">
        <v>#VALUE!</v>
      </c>
      <c r="B83" s="149">
        <f>IF('Résultat - projection'!$B$210=2,'Résultat - projection'!B42,IF('Résultat - projection'!$B$210=3,'Résultat - projection'!B81,IF('Résultat - projection'!$B$210=4,'Résultat - projection'!B120,IF('Résultat - projection'!$B$210=5,'Résultat - projection'!B164,IF('Résultat - projection'!$B$210=6,'Résultat - projection'!B202,'Clés de répartition'!G83)))))</f>
        <v>0.40121325052602802</v>
      </c>
      <c r="C83" s="149">
        <f>IF('Résultat - projection'!$B$210=2,'Résultat - projection'!C42,IF('Résultat - projection'!$B$210=3,'Résultat - projection'!C81,IF('Résultat - projection'!$B$210=4,'Résultat - projection'!C120,IF('Résultat - projection'!$B$210=5,'Résultat - projection'!C164,IF('Résultat - projection'!$B$210=6,'Résultat - projection'!C202,'Clés de répartition'!H83)))))</f>
        <v>0.45434290449233999</v>
      </c>
      <c r="D83" s="149">
        <f>IF('Résultat - projection'!$B$210=2,'Résultat - projection'!D42,IF('Résultat - projection'!$B$210=3,'Résultat - projection'!D81,IF('Résultat - projection'!$B$210=4,'Résultat - projection'!D120,IF('Résultat - projection'!$B$210=5,'Résultat - projection'!D164,IF('Résultat - projection'!$B$210=6,'Résultat - projection'!D202,'Clés de répartition'!I83)))))</f>
        <v>3.2424689090873898E-2</v>
      </c>
      <c r="E83" s="149">
        <f>IF('Résultat - projection'!$B$210=2,'Résultat - projection'!E42,IF('Résultat - projection'!$B$210=3,'Résultat - projection'!E81,IF('Résultat - projection'!$B$210=4,'Résultat - projection'!E120,IF('Résultat - projection'!$B$210=5,'Résultat - projection'!E164,IF('Résultat - projection'!$B$210=6,'Résultat - projection'!E202,'Clés de répartition'!J83)))))</f>
        <v>0.11201915589075701</v>
      </c>
      <c r="F83" s="608">
        <f>IF('Résultat - projection'!$B$210=2,'Résultat - projection'!F42,IF('Résultat - projection'!$B$210=3,'Résultat - projection'!F81,IF('Résultat - projection'!$B$210=4,'Résultat - projection'!F120,IF('Résultat - projection'!$B$210=5,'Résultat - projection'!F164,IF('Résultat - projection'!$B$210=6,'Résultat - projection'!F202,'Clés de répartition'!K83)))))</f>
        <v>1.2429556033504101</v>
      </c>
      <c r="G83" s="603">
        <v>0.40121325052602802</v>
      </c>
      <c r="H83" s="601">
        <v>0.45434290449233999</v>
      </c>
      <c r="I83" s="601">
        <v>3.2424689090873898E-2</v>
      </c>
      <c r="J83" s="601">
        <v>0.11201915589075701</v>
      </c>
      <c r="K83" s="249">
        <v>1.2429556033504101</v>
      </c>
      <c r="M83" s="20"/>
      <c r="P83" s="116"/>
      <c r="R83" s="635" cm="1">
        <f t="array" ref="R83">G83*O126/SUM($G83:$J83*$O126:$R126)</f>
        <v>0.52973703618878742</v>
      </c>
      <c r="S83" s="635" cm="1">
        <f t="array" ref="S83">H83*P126/SUM($G83:$J83*$O126:$R126)</f>
        <v>0.43274834294751235</v>
      </c>
      <c r="T83" s="635" cm="1">
        <f t="array" ref="T83">I83*Q126/SUM($G83:$J83*$O126:$R126)</f>
        <v>2.619473081417743E-2</v>
      </c>
      <c r="U83" s="635" cm="1">
        <f t="array" ref="U83">J83*R126/SUM($G83:$J83*$O126:$R126)</f>
        <v>1.1319890049522786E-2</v>
      </c>
      <c r="V83" s="615"/>
    </row>
    <row r="84" spans="1:33">
      <c r="A84" s="63" t="e" vm="33">
        <v>#VALUE!</v>
      </c>
      <c r="B84" s="149">
        <f>IF('Résultat - projection'!$B$210=2,'Résultat - projection'!B43,IF('Résultat - projection'!$B$210=3,'Résultat - projection'!B82,IF('Résultat - projection'!$B$210=4,'Résultat - projection'!B121,IF('Résultat - projection'!$B$210=5,'Résultat - projection'!B165,IF('Résultat - projection'!$B$210=6,'Résultat - projection'!B203,'Clés de répartition'!G84)))))</f>
        <v>0.28968464615792799</v>
      </c>
      <c r="C84" s="149">
        <f>IF('Résultat - projection'!$B$210=2,'Résultat - projection'!C43,IF('Résultat - projection'!$B$210=3,'Résultat - projection'!C82,IF('Résultat - projection'!$B$210=4,'Résultat - projection'!C121,IF('Résultat - projection'!$B$210=5,'Résultat - projection'!C165,IF('Résultat - projection'!$B$210=6,'Résultat - projection'!C203,'Clés de répartition'!H84)))))</f>
        <v>0.40608354871580099</v>
      </c>
      <c r="D84" s="149">
        <f>IF('Résultat - projection'!$B$210=2,'Résultat - projection'!D43,IF('Résultat - projection'!$B$210=3,'Résultat - projection'!D82,IF('Résultat - projection'!$B$210=4,'Résultat - projection'!D121,IF('Résultat - projection'!$B$210=5,'Résultat - projection'!D165,IF('Résultat - projection'!$B$210=6,'Résultat - projection'!D203,'Clés de répartition'!I84)))))</f>
        <v>5.6984910463057002E-2</v>
      </c>
      <c r="E84" s="149">
        <f>IF('Résultat - projection'!$B$210=2,'Résultat - projection'!E43,IF('Résultat - projection'!$B$210=3,'Résultat - projection'!E82,IF('Résultat - projection'!$B$210=4,'Résultat - projection'!E121,IF('Résultat - projection'!$B$210=5,'Résultat - projection'!E165,IF('Résultat - projection'!$B$210=6,'Résultat - projection'!E203,'Clés de répartition'!J84)))))</f>
        <v>0.24724689466321001</v>
      </c>
      <c r="F84" s="608">
        <f>IF('Résultat - projection'!$B$210=2,'Résultat - projection'!F43,IF('Résultat - projection'!$B$210=3,'Résultat - projection'!F82,IF('Résultat - projection'!$B$210=4,'Résultat - projection'!F121,IF('Résultat - projection'!$B$210=5,'Résultat - projection'!F165,IF('Résultat - projection'!$B$210=6,'Résultat - projection'!F203,'Clés de répartition'!K84)))))</f>
        <v>1.1519408444761401</v>
      </c>
      <c r="G84" s="603">
        <v>0.28968464615792799</v>
      </c>
      <c r="H84" s="601">
        <v>0.40608354871580099</v>
      </c>
      <c r="I84" s="601">
        <v>5.6984910463057002E-2</v>
      </c>
      <c r="J84" s="601">
        <v>0.24724689466321001</v>
      </c>
      <c r="K84" s="249">
        <v>1.1519408444761401</v>
      </c>
      <c r="M84" s="20"/>
      <c r="P84" s="116"/>
      <c r="R84" s="635" cm="1">
        <f t="array" ref="R84">G84*O127/SUM($G84:$J84*$O127:$R127)</f>
        <v>0.50063683071975118</v>
      </c>
      <c r="S84" s="635" cm="1">
        <f t="array" ref="S84">H84*P127/SUM($G84:$J84*$O127:$R127)</f>
        <v>0.42055378916015973</v>
      </c>
      <c r="T84" s="635" cm="1">
        <f t="array" ref="T84">I84*Q127/SUM($G84:$J84*$O127:$R127)</f>
        <v>3.5247324436852669E-2</v>
      </c>
      <c r="U84" s="635" cm="1">
        <f t="array" ref="U84">J84*R127/SUM($G84:$J84*$O127:$R127)</f>
        <v>4.3562055683236345E-2</v>
      </c>
      <c r="V84" s="615"/>
    </row>
    <row r="85" spans="1:33">
      <c r="A85" s="63" t="e" vm="34">
        <v>#VALUE!</v>
      </c>
      <c r="B85" s="149">
        <f>IF('Résultat - projection'!$B$210=2,'Résultat - projection'!B44,IF('Résultat - projection'!$B$210=3,'Résultat - projection'!B83,IF('Résultat - projection'!$B$210=4,'Résultat - projection'!B122,IF('Résultat - projection'!$B$210=5,'Résultat - projection'!B166,IF('Résultat - projection'!$B$210=6,'Résultat - projection'!B204,'Clés de répartition'!G85)))))</f>
        <v>0.34658849139615</v>
      </c>
      <c r="C85" s="149">
        <f>IF('Résultat - projection'!$B$210=2,'Résultat - projection'!C44,IF('Résultat - projection'!$B$210=3,'Résultat - projection'!C83,IF('Résultat - projection'!$B$210=4,'Résultat - projection'!C122,IF('Résultat - projection'!$B$210=5,'Résultat - projection'!C166,IF('Résultat - projection'!$B$210=6,'Résultat - projection'!C204,'Clés de répartition'!H85)))))</f>
        <v>0.48400470984218102</v>
      </c>
      <c r="D85" s="149">
        <f>IF('Résultat - projection'!$B$210=2,'Résultat - projection'!D44,IF('Résultat - projection'!$B$210=3,'Résultat - projection'!D83,IF('Résultat - projection'!$B$210=4,'Résultat - projection'!D122,IF('Résultat - projection'!$B$210=5,'Résultat - projection'!D166,IF('Résultat - projection'!$B$210=6,'Résultat - projection'!D204,'Clés de répartition'!I85)))))</f>
        <v>5.1508687235724403E-2</v>
      </c>
      <c r="E85" s="149">
        <f>IF('Résultat - projection'!$B$210=2,'Résultat - projection'!E44,IF('Résultat - projection'!$B$210=3,'Résultat - projection'!E83,IF('Résultat - projection'!$B$210=4,'Résultat - projection'!E122,IF('Résultat - projection'!$B$210=5,'Résultat - projection'!E166,IF('Résultat - projection'!$B$210=6,'Résultat - projection'!E204,'Clés de répartition'!J85)))))</f>
        <v>0.117898111525943</v>
      </c>
      <c r="F85" s="608">
        <f>IF('Résultat - projection'!$B$210=2,'Résultat - projection'!F44,IF('Résultat - projection'!$B$210=3,'Résultat - projection'!F83,IF('Résultat - projection'!$B$210=4,'Résultat - projection'!F122,IF('Résultat - projection'!$B$210=5,'Résultat - projection'!F166,IF('Résultat - projection'!$B$210=6,'Résultat - projection'!F204,'Clés de répartition'!K85)))))</f>
        <v>1.2392546336569801</v>
      </c>
      <c r="G85" s="603">
        <v>0.34658849139615</v>
      </c>
      <c r="H85" s="601">
        <v>0.48400470984218102</v>
      </c>
      <c r="I85" s="601">
        <v>5.1508687235724403E-2</v>
      </c>
      <c r="J85" s="601">
        <v>0.117898111525943</v>
      </c>
      <c r="K85" s="249">
        <v>1.2392546336569801</v>
      </c>
      <c r="M85" s="20"/>
      <c r="P85" s="116"/>
      <c r="R85" s="635" cm="1">
        <f t="array" ref="R85">G85*O128/SUM($G85:$J85*$O128:$R128)</f>
        <v>0.46915593766677993</v>
      </c>
      <c r="S85" s="635" cm="1">
        <f t="array" ref="S85">H85*P128/SUM($G85:$J85*$O128:$R128)</f>
        <v>0.48504472351569933</v>
      </c>
      <c r="T85" s="635" cm="1">
        <f t="array" ref="T85">I85*Q128/SUM($G85:$J85*$O128:$R128)</f>
        <v>3.3020037776114536E-2</v>
      </c>
      <c r="U85" s="635" cm="1">
        <f t="array" ref="U85">J85*R128/SUM($G85:$J85*$O128:$R128)</f>
        <v>1.2779301041406222E-2</v>
      </c>
      <c r="V85" s="615"/>
    </row>
    <row r="86" spans="1:33">
      <c r="P86" s="116"/>
    </row>
    <row r="87" spans="1:33">
      <c r="A87" s="23" t="s">
        <v>307</v>
      </c>
    </row>
    <row r="88" spans="1:33">
      <c r="A88" s="45" t="s">
        <v>68</v>
      </c>
    </row>
    <row r="89" spans="1:33">
      <c r="A89" s="23" t="s">
        <v>308</v>
      </c>
      <c r="B89" s="40"/>
      <c r="C89" s="40"/>
      <c r="D89" s="40"/>
      <c r="E89" s="40"/>
      <c r="I89" s="20"/>
    </row>
    <row r="90" spans="1:33">
      <c r="A90" s="23"/>
      <c r="F90" s="20"/>
      <c r="G90" s="20"/>
      <c r="H90" s="20"/>
      <c r="I90" s="20"/>
      <c r="P90" s="20"/>
    </row>
    <row r="91" spans="1:33">
      <c r="A91" s="690" t="s">
        <v>7</v>
      </c>
      <c r="B91" s="647" t="s">
        <v>828</v>
      </c>
      <c r="C91" s="647"/>
      <c r="D91" s="647"/>
      <c r="E91" s="647"/>
      <c r="F91" s="647" t="s">
        <v>829</v>
      </c>
      <c r="G91" s="647"/>
      <c r="H91" s="647"/>
      <c r="I91" s="647"/>
      <c r="J91" s="494" t="s">
        <v>658</v>
      </c>
      <c r="K91" s="647" t="s">
        <v>831</v>
      </c>
      <c r="L91" s="647"/>
      <c r="M91" s="647"/>
      <c r="N91" s="647"/>
      <c r="O91" s="647" t="s">
        <v>830</v>
      </c>
      <c r="P91" s="647"/>
      <c r="Q91" s="647"/>
      <c r="R91" s="647"/>
      <c r="S91" s="482" t="s">
        <v>832</v>
      </c>
      <c r="V91" s="224"/>
      <c r="W91" s="224"/>
      <c r="X91" s="224"/>
      <c r="Y91" s="224"/>
      <c r="Z91" s="224"/>
      <c r="AA91" s="224"/>
      <c r="AB91" s="224"/>
      <c r="AC91" s="224"/>
      <c r="AD91" s="224"/>
      <c r="AE91" s="224"/>
      <c r="AF91" s="224"/>
      <c r="AG91" s="224"/>
    </row>
    <row r="92" spans="1:33" ht="35" thickBot="1">
      <c r="A92" s="690"/>
      <c r="B92" s="301" t="s">
        <v>10</v>
      </c>
      <c r="C92" s="251" t="s">
        <v>11</v>
      </c>
      <c r="D92" s="57" t="s">
        <v>12</v>
      </c>
      <c r="E92" s="58" t="s">
        <v>13</v>
      </c>
      <c r="F92" s="301" t="s">
        <v>10</v>
      </c>
      <c r="G92" s="251" t="s">
        <v>11</v>
      </c>
      <c r="H92" s="57" t="s">
        <v>12</v>
      </c>
      <c r="I92" s="58" t="s">
        <v>13</v>
      </c>
      <c r="J92" s="495" t="s">
        <v>10</v>
      </c>
      <c r="K92" s="301" t="s">
        <v>10</v>
      </c>
      <c r="L92" s="251" t="s">
        <v>11</v>
      </c>
      <c r="M92" s="57" t="s">
        <v>12</v>
      </c>
      <c r="N92" s="58" t="s">
        <v>13</v>
      </c>
      <c r="O92" s="301" t="s">
        <v>10</v>
      </c>
      <c r="P92" s="251" t="s">
        <v>11</v>
      </c>
      <c r="Q92" s="57" t="s">
        <v>12</v>
      </c>
      <c r="R92" s="58" t="s">
        <v>13</v>
      </c>
      <c r="S92" s="301" t="s">
        <v>10</v>
      </c>
      <c r="V92" s="224"/>
      <c r="W92" s="224"/>
      <c r="X92" s="224"/>
      <c r="Y92" s="224"/>
      <c r="Z92" s="224"/>
      <c r="AA92" s="224"/>
      <c r="AB92" s="224"/>
      <c r="AC92" s="224"/>
      <c r="AD92" s="224"/>
      <c r="AE92" s="224"/>
      <c r="AF92" s="224"/>
      <c r="AG92" s="224"/>
    </row>
    <row r="93" spans="1:33" ht="17">
      <c r="A93" s="298" t="s">
        <v>202</v>
      </c>
      <c r="B93" s="20">
        <f>IF('Résultat - projection'!$B$210=2,'Résultat - projection'!G9, IF('Résultat - projection'!$B$210=3, 'Résultat - projection'!G48, IF('Résultat - projection'!$B$210=4, 'Résultat - projection'!G87,'Clés de répartition'!K93)))</f>
        <v>18.578494294073803</v>
      </c>
      <c r="C93" s="20">
        <f>IF('Résultat - projection'!$B$210=2,'Résultat - projection'!H9, IF('Résultat - projection'!$B$210=3, 'Résultat - projection'!H48, IF('Résultat - projection'!$B$210=4, 'Résultat - projection'!H87,'Clés de répartition'!L93)))</f>
        <v>37.820829578364282</v>
      </c>
      <c r="D93" s="20">
        <f>IF('Résultat - projection'!$B$210=2,'Résultat - projection'!I9, IF('Résultat - projection'!$B$210=3, 'Résultat - projection'!I48, IF('Résultat - projection'!$B$210=4, 'Résultat - projection'!I87,'Clés de répartition'!M93)))</f>
        <v>20.272734534760257</v>
      </c>
      <c r="E93" s="20">
        <f>IF('Résultat - projection'!$B$210=2,'Résultat - projection'!J9, IF('Résultat - projection'!$B$210=3, 'Résultat - projection'!J48, IF('Résultat - projection'!$B$210=4, 'Résultat - projection'!J87,'Clés de répartition'!N93)))</f>
        <v>15.951952585102337</v>
      </c>
      <c r="F93" s="20">
        <f>IF('Résultat - projection'!$B$210=2,'Résultat - projection'!K9, IF('Résultat - projection'!$B$210=3, 'Résultat - projection'!K48, IF('Résultat - projection'!$B$210=4, 'Résultat - projection'!K87,'Clés de répartition'!O93)))</f>
        <v>12.304121519511266</v>
      </c>
      <c r="G93" s="20">
        <f>IF('Résultat - projection'!$B$210=2,'Résultat - projection'!L9, IF('Résultat - projection'!$B$210=3, 'Résultat - projection'!L48, IF('Résultat - projection'!$B$210=4, 'Résultat - projection'!L87,'Clés de répartition'!P93)))</f>
        <v>9.6170434760374199</v>
      </c>
      <c r="H93" s="20">
        <f>IF('Résultat - projection'!$B$210=2,'Résultat - projection'!M9, IF('Résultat - projection'!$B$210=3, 'Résultat - projection'!M48, IF('Résultat - projection'!$B$210=4, 'Résultat - projection'!M87,'Clés de répartition'!Q93)))</f>
        <v>5.2186284078064418</v>
      </c>
      <c r="I93" s="20">
        <f>IF('Résultat - projection'!$B$210=2,'Résultat - projection'!N9, IF('Résultat - projection'!$B$210=3, 'Résultat - projection'!N48, IF('Résultat - projection'!$B$210=4, 'Résultat - projection'!N87,'Clés de répartition'!R93)))</f>
        <v>1.1360508569755141</v>
      </c>
      <c r="J93" s="496">
        <f>IF('Résultat - projection'!$B$210=2,'Résultat - projection'!O9, IF('Résultat - projection'!$B$210=3, 'Résultat - projection'!O48, IF('Résultat - projection'!$B$210=4, 'Résultat - projection'!O87,'Clés de répartition'!S93)))</f>
        <v>31.44840950485942</v>
      </c>
      <c r="K93" s="20" cm="1">
        <f t="array" ref="K93">SUM(K94:K108*G$51:G$65*$D135:$D149)/SUM($D135:$D149*G51:G65)</f>
        <v>18.578494294073803</v>
      </c>
      <c r="L93" s="20" cm="1">
        <f t="array" ref="L93">SUM(L94:L108*H$51:H$65*$D135:$D149)/SUM($D135:$D149*H51:H65)</f>
        <v>37.820829578364282</v>
      </c>
      <c r="M93" s="20" cm="1">
        <f t="array" ref="M93">SUM(M94:M108*I$51:I$65*$D135:$D149)/SUM($D135:$D149*I51:I65)</f>
        <v>20.272734534760257</v>
      </c>
      <c r="N93" s="20" cm="1">
        <f t="array" ref="N93">SUM(N94:N108*J$51:J$65*$D135:$D149)/SUM($D135:$D149*J51:J65)</f>
        <v>15.951952585102337</v>
      </c>
      <c r="O93" s="20" cm="1">
        <f t="array" ref="O93">SUM(O94:O108*G$51:G$65*$D135:$D149)/SUM($D135:$D149*G51:G65)</f>
        <v>12.304121519511266</v>
      </c>
      <c r="P93" s="20" cm="1">
        <f t="array" ref="P93">SUM(P94:P108*H$51:H$65*$D135:$D149)/SUM($D135:$D149*H51:H65)</f>
        <v>9.6170434760374199</v>
      </c>
      <c r="Q93" s="20" cm="1">
        <f t="array" ref="Q93">SUM(Q94:Q108*I$51:I$65*$D135:$D149)/SUM($D135:$D149*I51:I65)</f>
        <v>5.2186284078064418</v>
      </c>
      <c r="R93" s="20" cm="1">
        <f t="array" ref="R93">SUM(R94:R108*J$51:J$65*$D135:$D149)/SUM($D135:$D149*J51:J65)</f>
        <v>1.1360508569755141</v>
      </c>
      <c r="S93" s="20" cm="1">
        <f t="array" ref="S93">SUM(S94:S108*G$51:G$65*$D135:$D149)/SUM($D135:$D149*G51:G65)</f>
        <v>31.44840950485942</v>
      </c>
      <c r="T93" s="20"/>
      <c r="U93" s="20"/>
      <c r="V93" s="224"/>
      <c r="W93" s="224"/>
      <c r="X93" s="224"/>
      <c r="Y93" s="224"/>
      <c r="Z93" s="224"/>
      <c r="AA93" s="224"/>
      <c r="AB93" s="224"/>
      <c r="AC93" s="224"/>
      <c r="AD93" s="224"/>
      <c r="AE93" s="224"/>
      <c r="AF93" s="224"/>
      <c r="AG93" s="224"/>
    </row>
    <row r="94" spans="1:33">
      <c r="A94" s="347" t="e" vm="1">
        <v>#VALUE!</v>
      </c>
      <c r="B94" s="20">
        <f>IF('Résultat - projection'!$B$210=2,'Résultat - projection'!G10, IF('Résultat - projection'!$B$210=3, 'Résultat - projection'!G49, IF('Résultat - projection'!$B$210=4, 'Résultat - projection'!G88,'Clés de répartition'!K94)))</f>
        <v>15.879162222959099</v>
      </c>
      <c r="C94" s="20">
        <f>IF('Résultat - projection'!$B$210=2,'Résultat - projection'!H10, IF('Résultat - projection'!$B$210=3, 'Résultat - projection'!H49, IF('Résultat - projection'!$B$210=4, 'Résultat - projection'!H88,'Clés de répartition'!L94)))</f>
        <v>58.096988577362403</v>
      </c>
      <c r="D94" s="20">
        <f>IF('Résultat - projection'!$B$210=2,'Résultat - projection'!I10, IF('Résultat - projection'!$B$210=3, 'Résultat - projection'!I49, IF('Résultat - projection'!$B$210=4, 'Résultat - projection'!I88,'Clés de répartition'!M94)))</f>
        <v>11.652302531259499</v>
      </c>
      <c r="E94" s="20">
        <f>IF('Résultat - projection'!$B$210=2,'Résultat - projection'!J10, IF('Résultat - projection'!$B$210=3, 'Résultat - projection'!J49, IF('Résultat - projection'!$B$210=4, 'Résultat - projection'!J88,'Clés de répartition'!N94)))</f>
        <v>14.3176879517518</v>
      </c>
      <c r="F94" s="20">
        <f>IF('Résultat - projection'!$B$210=2,'Résultat - projection'!K10, IF('Résultat - projection'!$B$210=3, 'Résultat - projection'!K49, IF('Résultat - projection'!$B$210=4, 'Résultat - projection'!K88,'Clés de répartition'!O94)))</f>
        <v>15.5740332135399</v>
      </c>
      <c r="G94" s="20">
        <f>IF('Résultat - projection'!$B$210=2,'Résultat - projection'!L10, IF('Résultat - projection'!$B$210=3, 'Résultat - projection'!L49, IF('Résultat - projection'!$B$210=4, 'Résultat - projection'!L88,'Clés de répartition'!P94)))</f>
        <v>24.155631751426199</v>
      </c>
      <c r="H94" s="20">
        <f>IF('Résultat - projection'!$B$210=2,'Résultat - projection'!M10, IF('Résultat - projection'!$B$210=3, 'Résultat - projection'!M49, IF('Résultat - projection'!$B$210=4, 'Résultat - projection'!M88,'Clés de répartition'!Q94)))</f>
        <v>3.65876791704788</v>
      </c>
      <c r="I94" s="20">
        <f>IF('Résultat - projection'!$B$210=2,'Résultat - projection'!N10, IF('Résultat - projection'!$B$210=3, 'Résultat - projection'!N49, IF('Résultat - projection'!$B$210=4, 'Résultat - projection'!N88,'Clés de répartition'!R94)))</f>
        <v>1.03853874131025</v>
      </c>
      <c r="J94" s="496">
        <f>IF('Résultat - projection'!$B$210=2,'Résultat - projection'!O10, IF('Résultat - projection'!$B$210=3, 'Résultat - projection'!O49, IF('Résultat - projection'!$B$210=4, 'Résultat - projection'!O88,'Clés de répartition'!S94)))</f>
        <v>22.811613984459701</v>
      </c>
      <c r="K94" s="20">
        <v>15.879162222959099</v>
      </c>
      <c r="L94" s="20">
        <v>58.096988577362403</v>
      </c>
      <c r="M94" s="20">
        <v>11.652302531259499</v>
      </c>
      <c r="N94" s="20">
        <v>14.3176879517518</v>
      </c>
      <c r="O94" s="20">
        <v>15.5740332135399</v>
      </c>
      <c r="P94" s="20">
        <v>24.155631751426199</v>
      </c>
      <c r="Q94" s="20">
        <v>3.65876791704788</v>
      </c>
      <c r="R94" s="20">
        <v>1.03853874131025</v>
      </c>
      <c r="S94" s="20">
        <v>22.811613984459701</v>
      </c>
      <c r="T94" s="20"/>
      <c r="U94" s="20"/>
      <c r="V94" s="224"/>
      <c r="W94" s="224"/>
      <c r="X94" s="224"/>
      <c r="Y94" s="224"/>
      <c r="Z94" s="224"/>
      <c r="AA94" s="224"/>
      <c r="AB94" s="224"/>
      <c r="AC94" s="224"/>
      <c r="AD94" s="224"/>
      <c r="AE94" s="224"/>
      <c r="AF94" s="224"/>
      <c r="AG94" s="224"/>
    </row>
    <row r="95" spans="1:33">
      <c r="A95" s="347" t="e" vm="2">
        <v>#VALUE!</v>
      </c>
      <c r="B95" s="20">
        <f>IF('Résultat - projection'!$B$210=2,'Résultat - projection'!G11, IF('Résultat - projection'!$B$210=3, 'Résultat - projection'!G50, IF('Résultat - projection'!$B$210=4, 'Résultat - projection'!G89,'Clés de répartition'!K95)))</f>
        <v>18.7245377123044</v>
      </c>
      <c r="C95" s="20">
        <f>IF('Résultat - projection'!$B$210=2,'Résultat - projection'!H11, IF('Résultat - projection'!$B$210=3, 'Résultat - projection'!H50, IF('Résultat - projection'!$B$210=4, 'Résultat - projection'!H89,'Clés de répartition'!L95)))</f>
        <v>46.763768007701003</v>
      </c>
      <c r="D95" s="20">
        <f>IF('Résultat - projection'!$B$210=2,'Résultat - projection'!I11, IF('Résultat - projection'!$B$210=3, 'Résultat - projection'!I50, IF('Résultat - projection'!$B$210=4, 'Résultat - projection'!I89,'Clés de répartition'!M95)))</f>
        <v>18.3815042624366</v>
      </c>
      <c r="E95" s="20">
        <f>IF('Résultat - projection'!$B$210=2,'Résultat - projection'!J11, IF('Résultat - projection'!$B$210=3, 'Résultat - projection'!J50, IF('Résultat - projection'!$B$210=4, 'Résultat - projection'!J89,'Clés de répartition'!N95)))</f>
        <v>12.228569366247999</v>
      </c>
      <c r="F95" s="20">
        <f>IF('Résultat - projection'!$B$210=2,'Résultat - projection'!K11, IF('Résultat - projection'!$B$210=3, 'Résultat - projection'!K50, IF('Résultat - projection'!$B$210=4, 'Résultat - projection'!K89,'Clés de répartition'!O95)))</f>
        <v>17.375485000019701</v>
      </c>
      <c r="G95" s="20">
        <f>IF('Résultat - projection'!$B$210=2,'Résultat - projection'!L11, IF('Résultat - projection'!$B$210=3, 'Résultat - projection'!L50, IF('Résultat - projection'!$B$210=4, 'Résultat - projection'!L89,'Clés de répartition'!P95)))</f>
        <v>17.567693188607901</v>
      </c>
      <c r="H95" s="20">
        <f>IF('Résultat - projection'!$B$210=2,'Résultat - projection'!M11, IF('Résultat - projection'!$B$210=3, 'Résultat - projection'!M50, IF('Résultat - projection'!$B$210=4, 'Résultat - projection'!M89,'Clés de répartition'!Q95)))</f>
        <v>5.8598899320168298</v>
      </c>
      <c r="I95" s="20">
        <f>IF('Résultat - projection'!$B$210=2,'Résultat - projection'!N11, IF('Résultat - projection'!$B$210=3, 'Résultat - projection'!N50, IF('Résultat - projection'!$B$210=4, 'Résultat - projection'!N89,'Clés de répartition'!R95)))</f>
        <v>0.90744911216977098</v>
      </c>
      <c r="J95" s="496">
        <f>IF('Résultat - projection'!$B$210=2,'Résultat - projection'!O11, IF('Résultat - projection'!$B$210=3, 'Résultat - projection'!O50, IF('Résultat - projection'!$B$210=4, 'Résultat - projection'!O89,'Clés de répartition'!S95)))</f>
        <v>29.5853865230583</v>
      </c>
      <c r="K95" s="20">
        <v>18.7245377123044</v>
      </c>
      <c r="L95" s="20">
        <v>46.763768007701003</v>
      </c>
      <c r="M95" s="20">
        <v>18.3815042624366</v>
      </c>
      <c r="N95" s="20">
        <v>12.228569366247999</v>
      </c>
      <c r="O95" s="20">
        <v>17.375485000019701</v>
      </c>
      <c r="P95" s="20">
        <v>17.567693188607901</v>
      </c>
      <c r="Q95" s="20">
        <v>5.8598899320168298</v>
      </c>
      <c r="R95" s="20">
        <v>0.90744911216977098</v>
      </c>
      <c r="S95" s="20">
        <v>29.5853865230583</v>
      </c>
      <c r="T95" s="20"/>
      <c r="U95" s="20"/>
      <c r="V95" s="224"/>
      <c r="W95" s="224"/>
      <c r="X95" s="224"/>
      <c r="Y95" s="224"/>
      <c r="Z95" s="224"/>
      <c r="AA95" s="224"/>
      <c r="AB95" s="224"/>
      <c r="AC95" s="224"/>
      <c r="AD95" s="224"/>
      <c r="AE95" s="224"/>
      <c r="AF95" s="224"/>
      <c r="AG95" s="224"/>
    </row>
    <row r="96" spans="1:33">
      <c r="A96" s="347" t="e" vm="3">
        <v>#VALUE!</v>
      </c>
      <c r="B96" s="20">
        <f>IF('Résultat - projection'!$B$210=2,'Résultat - projection'!G12, IF('Résultat - projection'!$B$210=3, 'Résultat - projection'!G51, IF('Résultat - projection'!$B$210=4, 'Résultat - projection'!G90,'Clés de répartition'!K96)))</f>
        <v>17.591916614923399</v>
      </c>
      <c r="C96" s="20">
        <f>IF('Résultat - projection'!$B$210=2,'Résultat - projection'!H12, IF('Résultat - projection'!$B$210=3, 'Résultat - projection'!H51, IF('Résultat - projection'!$B$210=4, 'Résultat - projection'!H90,'Clés de répartition'!L96)))</f>
        <v>42.446271099963703</v>
      </c>
      <c r="D96" s="20">
        <f>IF('Résultat - projection'!$B$210=2,'Résultat - projection'!I12, IF('Résultat - projection'!$B$210=3, 'Résultat - projection'!I51, IF('Résultat - projection'!$B$210=4, 'Résultat - projection'!I90,'Clés de répartition'!M96)))</f>
        <v>20.054565372465099</v>
      </c>
      <c r="E96" s="20">
        <f>IF('Résultat - projection'!$B$210=2,'Résultat - projection'!J12, IF('Résultat - projection'!$B$210=3, 'Résultat - projection'!J51, IF('Résultat - projection'!$B$210=4, 'Résultat - projection'!J90,'Clés de répartition'!N96)))</f>
        <v>14.113383277338199</v>
      </c>
      <c r="F96" s="20">
        <f>IF('Résultat - projection'!$B$210=2,'Résultat - projection'!K12, IF('Résultat - projection'!$B$210=3, 'Résultat - projection'!K51, IF('Résultat - projection'!$B$210=4, 'Résultat - projection'!K90,'Clés de répartition'!O96)))</f>
        <v>9.1147331994502796</v>
      </c>
      <c r="G96" s="20">
        <f>IF('Résultat - projection'!$B$210=2,'Résultat - projection'!L12, IF('Résultat - projection'!$B$210=3, 'Résultat - projection'!L51, IF('Résultat - projection'!$B$210=4, 'Résultat - projection'!L90,'Clés de répartition'!P96)))</f>
        <v>9.0731046990138609</v>
      </c>
      <c r="H96" s="20">
        <f>IF('Résultat - projection'!$B$210=2,'Résultat - projection'!M12, IF('Résultat - projection'!$B$210=3, 'Résultat - projection'!M51, IF('Résultat - projection'!$B$210=4, 'Résultat - projection'!M90,'Clés de répartition'!Q96)))</f>
        <v>5.3416131662080897</v>
      </c>
      <c r="I96" s="20">
        <f>IF('Résultat - projection'!$B$210=2,'Résultat - projection'!N12, IF('Résultat - projection'!$B$210=3, 'Résultat - projection'!N51, IF('Résultat - projection'!$B$210=4, 'Résultat - projection'!N90,'Clés de répartition'!R96)))</f>
        <v>1.01404031646256</v>
      </c>
      <c r="J96" s="496">
        <f>IF('Résultat - projection'!$B$210=2,'Résultat - projection'!O12, IF('Résultat - projection'!$B$210=3, 'Résultat - projection'!O51, IF('Résultat - projection'!$B$210=4, 'Résultat - projection'!O90,'Clés de répartition'!S96)))</f>
        <v>30.994028434131</v>
      </c>
      <c r="K96" s="20">
        <v>17.591916614923399</v>
      </c>
      <c r="L96" s="20">
        <v>42.446271099963703</v>
      </c>
      <c r="M96" s="20">
        <v>20.054565372465099</v>
      </c>
      <c r="N96" s="20">
        <v>14.113383277338199</v>
      </c>
      <c r="O96" s="20">
        <v>9.1147331994502796</v>
      </c>
      <c r="P96" s="20">
        <v>9.0731046990138609</v>
      </c>
      <c r="Q96" s="20">
        <v>5.3416131662080897</v>
      </c>
      <c r="R96" s="20">
        <v>1.01404031646256</v>
      </c>
      <c r="S96" s="20">
        <v>30.994028434131</v>
      </c>
      <c r="T96" s="20"/>
      <c r="U96" s="20"/>
      <c r="V96" s="224"/>
      <c r="W96" s="224"/>
      <c r="X96" s="224"/>
      <c r="Y96" s="224"/>
      <c r="Z96" s="224"/>
      <c r="AA96" s="224"/>
      <c r="AB96" s="224"/>
      <c r="AC96" s="224"/>
      <c r="AD96" s="224"/>
      <c r="AE96" s="224"/>
      <c r="AF96" s="224"/>
      <c r="AG96" s="224"/>
    </row>
    <row r="97" spans="1:33">
      <c r="A97" s="347" t="e" vm="4">
        <v>#VALUE!</v>
      </c>
      <c r="B97" s="20">
        <f>IF('Résultat - projection'!$B$210=2,'Résultat - projection'!G13, IF('Résultat - projection'!$B$210=3, 'Résultat - projection'!G52, IF('Résultat - projection'!$B$210=4, 'Résultat - projection'!G91,'Clés de répartition'!K97)))</f>
        <v>19.098903188325</v>
      </c>
      <c r="C97" s="20">
        <f>IF('Résultat - projection'!$B$210=2,'Résultat - projection'!H13, IF('Résultat - projection'!$B$210=3, 'Résultat - projection'!H52, IF('Résultat - projection'!$B$210=4, 'Résultat - projection'!H91,'Clés de répartition'!L97)))</f>
        <v>53.832085630025297</v>
      </c>
      <c r="D97" s="20">
        <f>IF('Résultat - projection'!$B$210=2,'Résultat - projection'!I13, IF('Résultat - projection'!$B$210=3, 'Résultat - projection'!I52, IF('Résultat - projection'!$B$210=4, 'Résultat - projection'!I91,'Clés de répartition'!M97)))</f>
        <v>42.768487903225797</v>
      </c>
      <c r="E97" s="20">
        <f>IF('Résultat - projection'!$B$210=2,'Résultat - projection'!J13, IF('Résultat - projection'!$B$210=3, 'Résultat - projection'!J52, IF('Résultat - projection'!$B$210=4, 'Résultat - projection'!J91,'Clés de répartition'!N97)))</f>
        <v>16.347500445553401</v>
      </c>
      <c r="F97" s="20">
        <f>IF('Résultat - projection'!$B$210=2,'Résultat - projection'!K13, IF('Résultat - projection'!$B$210=3, 'Résultat - projection'!K52, IF('Résultat - projection'!$B$210=4, 'Résultat - projection'!K91,'Clés de répartition'!O97)))</f>
        <v>15.035326110046899</v>
      </c>
      <c r="G97" s="20">
        <f>IF('Résultat - projection'!$B$210=2,'Résultat - projection'!L13, IF('Résultat - projection'!$B$210=3, 'Résultat - projection'!L52, IF('Résultat - projection'!$B$210=4, 'Résultat - projection'!L91,'Clés de répartition'!P97)))</f>
        <v>16.264152566760899</v>
      </c>
      <c r="H97" s="20">
        <f>IF('Résultat - projection'!$B$210=2,'Résultat - projection'!M13, IF('Résultat - projection'!$B$210=3, 'Résultat - projection'!M52, IF('Résultat - projection'!$B$210=4, 'Résultat - projection'!M91,'Clés de répartition'!Q97)))</f>
        <v>12.570100806451601</v>
      </c>
      <c r="I97" s="20">
        <f>IF('Résultat - projection'!$B$210=2,'Résultat - projection'!N13, IF('Résultat - projection'!$B$210=3, 'Résultat - projection'!N52, IF('Résultat - projection'!$B$210=4, 'Résultat - projection'!N91,'Clés de répartition'!R97)))</f>
        <v>1.1932602625794599</v>
      </c>
      <c r="J97" s="496">
        <f>IF('Résultat - projection'!$B$210=2,'Résultat - projection'!O13, IF('Résultat - projection'!$B$210=3, 'Résultat - projection'!O52, IF('Résultat - projection'!$B$210=4, 'Résultat - projection'!O91,'Clés de répartition'!S97)))</f>
        <v>32.533615969837697</v>
      </c>
      <c r="K97" s="20">
        <v>19.098903188325</v>
      </c>
      <c r="L97" s="20">
        <v>53.832085630025297</v>
      </c>
      <c r="M97" s="20">
        <v>42.768487903225797</v>
      </c>
      <c r="N97" s="20">
        <v>16.347500445553401</v>
      </c>
      <c r="O97" s="20">
        <v>15.035326110046899</v>
      </c>
      <c r="P97" s="20">
        <v>16.264152566760899</v>
      </c>
      <c r="Q97" s="20">
        <v>12.570100806451601</v>
      </c>
      <c r="R97" s="20">
        <v>1.1932602625794599</v>
      </c>
      <c r="S97" s="20">
        <v>32.533615969837697</v>
      </c>
      <c r="T97" s="20"/>
      <c r="U97" s="20"/>
      <c r="V97" s="224"/>
      <c r="W97" s="224"/>
      <c r="X97" s="224"/>
      <c r="Y97" s="224"/>
      <c r="Z97" s="224"/>
      <c r="AA97" s="224"/>
      <c r="AB97" s="224"/>
      <c r="AC97" s="224"/>
      <c r="AD97" s="224"/>
      <c r="AE97" s="224"/>
      <c r="AF97" s="224"/>
      <c r="AG97" s="224"/>
    </row>
    <row r="98" spans="1:33">
      <c r="A98" s="347" t="e" vm="5">
        <v>#VALUE!</v>
      </c>
      <c r="B98" s="20">
        <f>IF('Résultat - projection'!$B$210=2,'Résultat - projection'!G14, IF('Résultat - projection'!$B$210=3, 'Résultat - projection'!G53, IF('Résultat - projection'!$B$210=4, 'Résultat - projection'!G92,'Clés de répartition'!K98)))</f>
        <v>15.906546648819599</v>
      </c>
      <c r="C98" s="20">
        <f>IF('Résultat - projection'!$B$210=2,'Résultat - projection'!H14, IF('Résultat - projection'!$B$210=3, 'Résultat - projection'!H53, IF('Résultat - projection'!$B$210=4, 'Résultat - projection'!H92,'Clés de répartition'!L98)))</f>
        <v>46.709217280952799</v>
      </c>
      <c r="D98" s="20">
        <f>IF('Résultat - projection'!$B$210=2,'Résultat - projection'!I14, IF('Résultat - projection'!$B$210=3, 'Résultat - projection'!I53, IF('Résultat - projection'!$B$210=4, 'Résultat - projection'!I92,'Clés de répartition'!M98)))</f>
        <v>25.136088638761901</v>
      </c>
      <c r="E98" s="20">
        <f>IF('Résultat - projection'!$B$210=2,'Résultat - projection'!J14, IF('Résultat - projection'!$B$210=3, 'Résultat - projection'!J53, IF('Résultat - projection'!$B$210=4, 'Résultat - projection'!J92,'Clés de répartition'!N98)))</f>
        <v>22.6647437641723</v>
      </c>
      <c r="F98" s="20">
        <f>IF('Résultat - projection'!$B$210=2,'Résultat - projection'!K14, IF('Résultat - projection'!$B$210=3, 'Résultat - projection'!K53, IF('Résultat - projection'!$B$210=4, 'Résultat - projection'!K92,'Clés de répartition'!O98)))</f>
        <v>13.5676362906911</v>
      </c>
      <c r="G98" s="20">
        <f>IF('Résultat - projection'!$B$210=2,'Résultat - projection'!L14, IF('Résultat - projection'!$B$210=3, 'Résultat - projection'!L53, IF('Résultat - projection'!$B$210=4, 'Résultat - projection'!L92,'Clés de répartition'!P98)))</f>
        <v>16.353511112403599</v>
      </c>
      <c r="H98" s="20">
        <f>IF('Résultat - projection'!$B$210=2,'Résultat - projection'!M14, IF('Résultat - projection'!$B$210=3, 'Résultat - projection'!M53, IF('Résultat - projection'!$B$210=4, 'Résultat - projection'!M92,'Clés de répartition'!Q98)))</f>
        <v>7.3402259936686596</v>
      </c>
      <c r="I98" s="20">
        <f>IF('Résultat - projection'!$B$210=2,'Résultat - projection'!N14, IF('Résultat - projection'!$B$210=3, 'Résultat - projection'!N53, IF('Résultat - projection'!$B$210=4, 'Résultat - projection'!N92,'Clés de répartition'!R98)))</f>
        <v>1.6402403628117901</v>
      </c>
      <c r="J98" s="496">
        <f>IF('Résultat - projection'!$B$210=2,'Résultat - projection'!O14, IF('Résultat - projection'!$B$210=3, 'Résultat - projection'!O53, IF('Résultat - projection'!$B$210=4, 'Résultat - projection'!O92,'Clés de répartition'!S98)))</f>
        <v>25.0962541874013</v>
      </c>
      <c r="K98" s="20">
        <v>15.906546648819599</v>
      </c>
      <c r="L98" s="20">
        <v>46.709217280952799</v>
      </c>
      <c r="M98" s="20">
        <v>25.136088638761901</v>
      </c>
      <c r="N98" s="20">
        <v>22.6647437641723</v>
      </c>
      <c r="O98" s="20">
        <v>13.5676362906911</v>
      </c>
      <c r="P98" s="20">
        <v>16.353511112403599</v>
      </c>
      <c r="Q98" s="20">
        <v>7.3402259936686596</v>
      </c>
      <c r="R98" s="20">
        <v>1.6402403628117901</v>
      </c>
      <c r="S98" s="20">
        <v>25.0962541874013</v>
      </c>
      <c r="T98" s="20"/>
      <c r="U98" s="20"/>
      <c r="V98" s="224"/>
      <c r="W98" s="224"/>
      <c r="X98" s="224"/>
      <c r="Y98" s="224"/>
      <c r="Z98" s="224"/>
      <c r="AA98" s="224"/>
      <c r="AB98" s="224"/>
      <c r="AC98" s="224"/>
      <c r="AD98" s="224"/>
      <c r="AE98" s="224"/>
      <c r="AF98" s="224"/>
      <c r="AG98" s="224"/>
    </row>
    <row r="99" spans="1:33">
      <c r="A99" s="347" t="e" vm="6">
        <v>#VALUE!</v>
      </c>
      <c r="B99" s="20">
        <f>IF('Résultat - projection'!$B$210=2,'Résultat - projection'!G15, IF('Résultat - projection'!$B$210=3, 'Résultat - projection'!G54, IF('Résultat - projection'!$B$210=4, 'Résultat - projection'!G93,'Clés de répartition'!K99)))</f>
        <v>13.9889088199581</v>
      </c>
      <c r="C99" s="20">
        <f>IF('Résultat - projection'!$B$210=2,'Résultat - projection'!H15, IF('Résultat - projection'!$B$210=3, 'Résultat - projection'!H54, IF('Résultat - projection'!$B$210=4, 'Résultat - projection'!H93,'Clés de répartition'!L99)))</f>
        <v>32.790358710332498</v>
      </c>
      <c r="D99" s="20">
        <f>IF('Résultat - projection'!$B$210=2,'Résultat - projection'!I15, IF('Résultat - projection'!$B$210=3, 'Résultat - projection'!I54, IF('Résultat - projection'!$B$210=4, 'Résultat - projection'!I93,'Clés de répartition'!M99)))</f>
        <v>29.319636385241498</v>
      </c>
      <c r="E99" s="20">
        <f>IF('Résultat - projection'!$B$210=2,'Résultat - projection'!J15, IF('Résultat - projection'!$B$210=3, 'Résultat - projection'!J54, IF('Résultat - projection'!$B$210=4, 'Résultat - projection'!J93,'Clés de répartition'!N99)))</f>
        <v>14.8265434466607</v>
      </c>
      <c r="F99" s="20">
        <f>IF('Résultat - projection'!$B$210=2,'Résultat - projection'!K15, IF('Résultat - projection'!$B$210=3, 'Résultat - projection'!K54, IF('Résultat - projection'!$B$210=4, 'Résultat - projection'!K93,'Clés de répartition'!O99)))</f>
        <v>7.76377315957959</v>
      </c>
      <c r="G99" s="20">
        <f>IF('Résultat - projection'!$B$210=2,'Résultat - projection'!L15, IF('Résultat - projection'!$B$210=3, 'Résultat - projection'!L54, IF('Résultat - projection'!$B$210=4, 'Résultat - projection'!L93,'Clés de répartition'!P99)))</f>
        <v>7.6339274268005104</v>
      </c>
      <c r="H99" s="20">
        <f>IF('Résultat - projection'!$B$210=2,'Résultat - projection'!M15, IF('Résultat - projection'!$B$210=3, 'Résultat - projection'!M54, IF('Résultat - projection'!$B$210=4, 'Résultat - projection'!M93,'Clés de répartition'!Q99)))</f>
        <v>7.6418929356544503</v>
      </c>
      <c r="I99" s="20">
        <f>IF('Résultat - projection'!$B$210=2,'Résultat - projection'!N15, IF('Résultat - projection'!$B$210=3, 'Résultat - projection'!N54, IF('Résultat - projection'!$B$210=4, 'Résultat - projection'!N93,'Clés de répartition'!R99)))</f>
        <v>1.0355588306549299</v>
      </c>
      <c r="J99" s="496">
        <f>IF('Résultat - projection'!$B$210=2,'Résultat - projection'!O15, IF('Résultat - projection'!$B$210=3, 'Résultat - projection'!O54, IF('Résultat - projection'!$B$210=4, 'Résultat - projection'!O93,'Clés de répartition'!S99)))</f>
        <v>23.958632299370802</v>
      </c>
      <c r="K99" s="20">
        <v>13.9889088199581</v>
      </c>
      <c r="L99" s="20">
        <v>32.790358710332498</v>
      </c>
      <c r="M99" s="20">
        <v>29.319636385241498</v>
      </c>
      <c r="N99" s="20">
        <v>14.8265434466607</v>
      </c>
      <c r="O99" s="20">
        <v>7.76377315957959</v>
      </c>
      <c r="P99" s="20">
        <v>7.6339274268005104</v>
      </c>
      <c r="Q99" s="20">
        <v>7.6418929356544503</v>
      </c>
      <c r="R99" s="20">
        <v>1.0355588306549299</v>
      </c>
      <c r="S99" s="20">
        <v>23.958632299370802</v>
      </c>
      <c r="T99" s="20"/>
      <c r="U99" s="20"/>
      <c r="V99" s="224"/>
      <c r="W99" s="224"/>
      <c r="X99" s="224"/>
      <c r="Y99" s="224"/>
      <c r="Z99" s="224"/>
      <c r="AA99" s="224"/>
      <c r="AB99" s="224"/>
      <c r="AC99" s="224"/>
      <c r="AD99" s="224"/>
      <c r="AE99" s="224"/>
      <c r="AF99" s="224"/>
      <c r="AG99" s="224"/>
    </row>
    <row r="100" spans="1:33">
      <c r="A100" s="347" t="e" vm="7">
        <v>#VALUE!</v>
      </c>
      <c r="B100" s="20">
        <f>IF('Résultat - projection'!$B$210=2,'Résultat - projection'!G16, IF('Résultat - projection'!$B$210=3, 'Résultat - projection'!G55, IF('Résultat - projection'!$B$210=4, 'Résultat - projection'!G94,'Clés de répartition'!K100)))</f>
        <v>20.019468440208101</v>
      </c>
      <c r="C100" s="20">
        <f>IF('Résultat - projection'!$B$210=2,'Résultat - projection'!H16, IF('Résultat - projection'!$B$210=3, 'Résultat - projection'!H55, IF('Résultat - projection'!$B$210=4, 'Résultat - projection'!H94,'Clés de répartition'!L100)))</f>
        <v>52.446949592822797</v>
      </c>
      <c r="D100" s="20">
        <f>IF('Résultat - projection'!$B$210=2,'Résultat - projection'!I16, IF('Résultat - projection'!$B$210=3, 'Résultat - projection'!I55, IF('Résultat - projection'!$B$210=4, 'Résultat - projection'!I94,'Clés de répartition'!M100)))</f>
        <v>4.3</v>
      </c>
      <c r="E100" s="20">
        <f>IF('Résultat - projection'!$B$210=2,'Résultat - projection'!J16, IF('Résultat - projection'!$B$210=3, 'Résultat - projection'!J55, IF('Résultat - projection'!$B$210=4, 'Résultat - projection'!J94,'Clés de répartition'!N100)))</f>
        <v>20.429919062238302</v>
      </c>
      <c r="F100" s="20">
        <f>IF('Résultat - projection'!$B$210=2,'Résultat - projection'!K16, IF('Résultat - projection'!$B$210=3, 'Résultat - projection'!K55, IF('Résultat - projection'!$B$210=4, 'Résultat - projection'!K94,'Clés de répartition'!O100)))</f>
        <v>18.0668915198553</v>
      </c>
      <c r="G100" s="20">
        <f>IF('Résultat - projection'!$B$210=2,'Résultat - projection'!L16, IF('Résultat - projection'!$B$210=3, 'Résultat - projection'!L55, IF('Résultat - projection'!$B$210=4, 'Résultat - projection'!L94,'Clés de répartition'!P100)))</f>
        <v>16.8609984607731</v>
      </c>
      <c r="H100" s="20">
        <f>IF('Résultat - projection'!$B$210=2,'Résultat - projection'!M16, IF('Résultat - projection'!$B$210=3, 'Résultat - projection'!M55, IF('Résultat - projection'!$B$210=4, 'Résultat - projection'!M94,'Clés de répartition'!Q100)))</f>
        <v>1</v>
      </c>
      <c r="I100" s="20">
        <f>IF('Résultat - projection'!$B$210=2,'Résultat - projection'!N16, IF('Résultat - projection'!$B$210=3, 'Résultat - projection'!N55, IF('Résultat - projection'!$B$210=4, 'Résultat - projection'!N94,'Clés de répartition'!R100)))</f>
        <v>1.5338891989952601</v>
      </c>
      <c r="J100" s="496">
        <f>IF('Résultat - projection'!$B$210=2,'Résultat - projection'!O16, IF('Résultat - projection'!$B$210=3, 'Résultat - projection'!O55, IF('Résultat - projection'!$B$210=4, 'Résultat - projection'!O94,'Clés de répartition'!S100)))</f>
        <v>31.870659229185801</v>
      </c>
      <c r="K100" s="20">
        <v>20.019468440208101</v>
      </c>
      <c r="L100" s="20">
        <v>52.446949592822797</v>
      </c>
      <c r="M100" s="20">
        <v>4.3</v>
      </c>
      <c r="N100" s="20">
        <v>20.429919062238302</v>
      </c>
      <c r="O100" s="20">
        <v>18.0668915198553</v>
      </c>
      <c r="P100" s="20">
        <v>16.8609984607731</v>
      </c>
      <c r="Q100" s="20">
        <v>1</v>
      </c>
      <c r="R100" s="20">
        <v>1.5338891989952601</v>
      </c>
      <c r="S100" s="20">
        <v>31.870659229185801</v>
      </c>
      <c r="T100" s="20"/>
      <c r="U100" s="20"/>
      <c r="V100" s="224"/>
      <c r="W100" s="224"/>
      <c r="X100" s="224"/>
      <c r="Y100" s="224"/>
      <c r="Z100" s="224"/>
      <c r="AA100" s="224"/>
      <c r="AB100" s="224"/>
      <c r="AC100" s="224"/>
      <c r="AD100" s="224"/>
      <c r="AE100" s="224"/>
      <c r="AF100" s="224"/>
      <c r="AG100" s="224"/>
    </row>
    <row r="101" spans="1:33">
      <c r="A101" s="347" t="e" vm="8">
        <v>#VALUE!</v>
      </c>
      <c r="B101" s="20">
        <f>IF('Résultat - projection'!$B$210=2,'Résultat - projection'!G17, IF('Résultat - projection'!$B$210=3, 'Résultat - projection'!G56, IF('Résultat - projection'!$B$210=4, 'Résultat - projection'!G95,'Clés de répartition'!K101)))</f>
        <v>18.75926045005151</v>
      </c>
      <c r="C101" s="20">
        <f>IF('Résultat - projection'!$B$210=2,'Résultat - projection'!H17, IF('Résultat - projection'!$B$210=3, 'Résultat - projection'!H56, IF('Résultat - projection'!$B$210=4, 'Résultat - projection'!H95,'Clés de répartition'!L101)))</f>
        <v>37.238079361120249</v>
      </c>
      <c r="D101" s="20">
        <f>IF('Résultat - projection'!$B$210=2,'Résultat - projection'!I17, IF('Résultat - projection'!$B$210=3, 'Résultat - projection'!I56, IF('Résultat - projection'!$B$210=4, 'Résultat - projection'!I95,'Clés de répartition'!M101)))</f>
        <v>20.183773231005418</v>
      </c>
      <c r="E101" s="20">
        <f>IF('Résultat - projection'!$B$210=2,'Résultat - projection'!J17, IF('Résultat - projection'!$B$210=3, 'Résultat - projection'!J56, IF('Résultat - projection'!$B$210=4, 'Résultat - projection'!J95,'Clés de répartition'!N101)))</f>
        <v>15.872287824809209</v>
      </c>
      <c r="F101" s="20">
        <f>IF('Résultat - projection'!$B$210=2,'Résultat - projection'!K17, IF('Résultat - projection'!$B$210=3, 'Résultat - projection'!K56, IF('Résultat - projection'!$B$210=4, 'Résultat - projection'!K95,'Clés de répartition'!O101)))</f>
        <v>12.098702165712405</v>
      </c>
      <c r="G101" s="20">
        <f>IF('Résultat - projection'!$B$210=2,'Résultat - projection'!L17, IF('Résultat - projection'!$B$210=3, 'Résultat - projection'!L56, IF('Résultat - projection'!$B$210=4, 'Résultat - projection'!L95,'Clés de répartition'!P101)))</f>
        <v>9.3225834851926823</v>
      </c>
      <c r="H101" s="20">
        <f>IF('Résultat - projection'!$B$210=2,'Résultat - projection'!M17, IF('Résultat - projection'!$B$210=3, 'Résultat - projection'!M56, IF('Résultat - projection'!$B$210=4, 'Résultat - projection'!M95,'Clés de répartition'!Q101)))</f>
        <v>5.1789098297498768</v>
      </c>
      <c r="I101" s="20">
        <f>IF('Résultat - projection'!$B$210=2,'Résultat - projection'!N17, IF('Résultat - projection'!$B$210=3, 'Résultat - projection'!N56, IF('Résultat - projection'!$B$210=4, 'Résultat - projection'!N95,'Clés de répartition'!R101)))</f>
        <v>1.1296435460103258</v>
      </c>
      <c r="J101" s="496">
        <f>IF('Résultat - projection'!$B$210=2,'Résultat - projection'!O17, IF('Résultat - projection'!$B$210=3, 'Résultat - projection'!O56, IF('Résultat - projection'!$B$210=4, 'Résultat - projection'!O95,'Clés de répartition'!S101)))</f>
        <v>31.940462420488736</v>
      </c>
      <c r="K101" s="20" cm="1">
        <f t="array" ref="K101">SUM(K110:K128*G67:G85*$D151:$D169)/SUM($D151:$D169*G67:G85)</f>
        <v>18.75926045005151</v>
      </c>
      <c r="L101" s="20" cm="1">
        <f t="array" ref="L101">SUM(L110:L128*H67:H85*$D151:$D169)/SUM($D151:$D169*H67:H85)</f>
        <v>37.238079361120249</v>
      </c>
      <c r="M101" s="20" cm="1">
        <f t="array" ref="M101">SUM(M110:M128*I67:I85*$D151:$D169)/SUM($D151:$D169*I67:I85)</f>
        <v>20.183773231005418</v>
      </c>
      <c r="N101" s="20" cm="1">
        <f t="array" ref="N101">SUM(N110:N128*J67:J85*$D151:$D169)/SUM($D151:$D169*J67:J85)</f>
        <v>15.872287824809209</v>
      </c>
      <c r="O101" s="20" cm="1">
        <f t="array" ref="O101">SUM(O110:O128*G67:G85*$D151:$D169)/SUM($D151:$D169*G67:G85)</f>
        <v>12.098702165712405</v>
      </c>
      <c r="P101" s="20" cm="1">
        <f t="array" ref="P101">SUM(P110:P128*H67:H85*$D151:$D169)/SUM($D151:$D169*H67:H85)</f>
        <v>9.3225834851926823</v>
      </c>
      <c r="Q101" s="20" cm="1">
        <f t="array" ref="Q101">SUM(Q110:Q128*I67:I85*$D151:$D169)/SUM($D151:$D169*I67:I85)</f>
        <v>5.1789098297498768</v>
      </c>
      <c r="R101" s="20" cm="1">
        <f t="array" ref="R101">SUM(R110:R128*J67:J85*$D151:$D169)/SUM($D151:$D169*J67:J85)</f>
        <v>1.1296435460103258</v>
      </c>
      <c r="S101" s="20" cm="1">
        <f t="array" ref="S101">SUM(S110:S128*G67:G85*$D151:$D169)/SUM($D151:$D169*G67:G85)</f>
        <v>31.940462420488736</v>
      </c>
      <c r="T101" s="20"/>
      <c r="U101" s="20"/>
      <c r="V101" s="224"/>
      <c r="W101" s="224"/>
      <c r="X101" s="224"/>
      <c r="Y101" s="224"/>
      <c r="Z101" s="224"/>
      <c r="AA101" s="224"/>
      <c r="AB101" s="224"/>
      <c r="AC101" s="224"/>
      <c r="AD101" s="224"/>
      <c r="AE101" s="224"/>
      <c r="AF101" s="224"/>
      <c r="AG101" s="224"/>
    </row>
    <row r="102" spans="1:33">
      <c r="A102" s="347" t="e" vm="9">
        <v>#VALUE!</v>
      </c>
      <c r="B102" s="20">
        <f>IF('Résultat - projection'!$B$210=2,'Résultat - projection'!G18, IF('Résultat - projection'!$B$210=3, 'Résultat - projection'!G57, IF('Résultat - projection'!$B$210=4, 'Résultat - projection'!G96,'Clés de répartition'!K102)))</f>
        <v>20.5527038132923</v>
      </c>
      <c r="C102" s="20">
        <f>IF('Résultat - projection'!$B$210=2,'Résultat - projection'!H18, IF('Résultat - projection'!$B$210=3, 'Résultat - projection'!H57, IF('Résultat - projection'!$B$210=4, 'Résultat - projection'!H96,'Clés de répartition'!L102)))</f>
        <v>48.311255031503102</v>
      </c>
      <c r="D102" s="20">
        <f>IF('Résultat - projection'!$B$210=2,'Résultat - projection'!I18, IF('Résultat - projection'!$B$210=3, 'Résultat - projection'!I57, IF('Résultat - projection'!$B$210=4, 'Résultat - projection'!I96,'Clés de répartition'!M102)))</f>
        <v>32.432267244884102</v>
      </c>
      <c r="E102" s="20">
        <f>IF('Résultat - projection'!$B$210=2,'Résultat - projection'!J18, IF('Résultat - projection'!$B$210=3, 'Résultat - projection'!J57, IF('Résultat - projection'!$B$210=4, 'Résultat - projection'!J96,'Clés de répartition'!N102)))</f>
        <v>12.8839126127535</v>
      </c>
      <c r="F102" s="20">
        <f>IF('Résultat - projection'!$B$210=2,'Résultat - projection'!K18, IF('Résultat - projection'!$B$210=3, 'Résultat - projection'!K57, IF('Résultat - projection'!$B$210=4, 'Résultat - projection'!K96,'Clés de répartition'!O102)))</f>
        <v>14.0550573946238</v>
      </c>
      <c r="G102" s="20">
        <f>IF('Résultat - projection'!$B$210=2,'Résultat - projection'!L18, IF('Résultat - projection'!$B$210=3, 'Résultat - projection'!L57, IF('Résultat - projection'!$B$210=4, 'Résultat - projection'!L96,'Clés de répartition'!P102)))</f>
        <v>14.7982241524461</v>
      </c>
      <c r="H102" s="20">
        <f>IF('Résultat - projection'!$B$210=2,'Résultat - projection'!M18, IF('Résultat - projection'!$B$210=3, 'Résultat - projection'!M57, IF('Résultat - projection'!$B$210=4, 'Résultat - projection'!M96,'Clés de répartition'!Q102)))</f>
        <v>9.2713511315896504</v>
      </c>
      <c r="I102" s="20">
        <f>IF('Résultat - projection'!$B$210=2,'Résultat - projection'!N18, IF('Résultat - projection'!$B$210=3, 'Résultat - projection'!N57, IF('Résultat - projection'!$B$210=4, 'Résultat - projection'!N96,'Clés de répartition'!R102)))</f>
        <v>0.94787110902549698</v>
      </c>
      <c r="J102" s="496">
        <f>IF('Résultat - projection'!$B$210=2,'Résultat - projection'!O18, IF('Résultat - projection'!$B$210=3, 'Résultat - projection'!O57, IF('Résultat - projection'!$B$210=4, 'Résultat - projection'!O96,'Clés de répartition'!S102)))</f>
        <v>34.812199405965998</v>
      </c>
      <c r="K102" s="20">
        <v>20.5527038132923</v>
      </c>
      <c r="L102" s="20">
        <v>48.311255031503102</v>
      </c>
      <c r="M102" s="20">
        <v>32.432267244884102</v>
      </c>
      <c r="N102" s="20">
        <v>12.8839126127535</v>
      </c>
      <c r="O102" s="20">
        <v>14.0550573946238</v>
      </c>
      <c r="P102" s="20">
        <v>14.7982241524461</v>
      </c>
      <c r="Q102" s="20">
        <v>9.2713511315896504</v>
      </c>
      <c r="R102" s="20">
        <v>0.94787110902549698</v>
      </c>
      <c r="S102" s="20">
        <v>34.812199405965998</v>
      </c>
      <c r="T102" s="20"/>
      <c r="U102" s="20"/>
      <c r="V102" s="224"/>
      <c r="W102" s="224"/>
      <c r="X102" s="224"/>
      <c r="Y102" s="224"/>
      <c r="Z102" s="224"/>
      <c r="AA102" s="224"/>
      <c r="AB102" s="224"/>
      <c r="AC102" s="224"/>
      <c r="AD102" s="224"/>
      <c r="AE102" s="224"/>
      <c r="AF102" s="224"/>
      <c r="AG102" s="224"/>
    </row>
    <row r="103" spans="1:33">
      <c r="A103" s="347" t="e" vm="10">
        <v>#VALUE!</v>
      </c>
      <c r="B103" s="20">
        <f>IF('Résultat - projection'!$B$210=2,'Résultat - projection'!G19, IF('Résultat - projection'!$B$210=3, 'Résultat - projection'!G58, IF('Résultat - projection'!$B$210=4, 'Résultat - projection'!G97,'Clés de répartition'!K103)))</f>
        <v>20.3550705095262</v>
      </c>
      <c r="C103" s="20">
        <f>IF('Résultat - projection'!$B$210=2,'Résultat - projection'!H19, IF('Résultat - projection'!$B$210=3, 'Résultat - projection'!H58, IF('Résultat - projection'!$B$210=4, 'Résultat - projection'!H97,'Clés de répartition'!L103)))</f>
        <v>39.246941869901299</v>
      </c>
      <c r="D103" s="20">
        <f>IF('Résultat - projection'!$B$210=2,'Résultat - projection'!I19, IF('Résultat - projection'!$B$210=3, 'Résultat - projection'!I58, IF('Résultat - projection'!$B$210=4, 'Résultat - projection'!I97,'Clés de répartition'!M103)))</f>
        <v>27.901855022831</v>
      </c>
      <c r="E103" s="20">
        <f>IF('Résultat - projection'!$B$210=2,'Résultat - projection'!J19, IF('Résultat - projection'!$B$210=3, 'Résultat - projection'!J58, IF('Résultat - projection'!$B$210=4, 'Résultat - projection'!J97,'Clés de répartition'!N103)))</f>
        <v>15.8323695217312</v>
      </c>
      <c r="F103" s="20">
        <f>IF('Résultat - projection'!$B$210=2,'Résultat - projection'!K19, IF('Résultat - projection'!$B$210=3, 'Résultat - projection'!K58, IF('Résultat - projection'!$B$210=4, 'Résultat - projection'!K97,'Clés de répartition'!O103)))</f>
        <v>12.369979113527201</v>
      </c>
      <c r="G103" s="20">
        <f>IF('Résultat - projection'!$B$210=2,'Résultat - projection'!L19, IF('Résultat - projection'!$B$210=3, 'Résultat - projection'!L58, IF('Résultat - projection'!$B$210=4, 'Résultat - projection'!L97,'Clés de répartition'!P103)))</f>
        <v>8.4599490667577903</v>
      </c>
      <c r="H103" s="20">
        <f>IF('Résultat - projection'!$B$210=2,'Résultat - projection'!M19, IF('Résultat - projection'!$B$210=3, 'Résultat - projection'!M58, IF('Résultat - projection'!$B$210=4, 'Résultat - projection'!M97,'Clés de répartition'!Q103)))</f>
        <v>8.1728881278538807</v>
      </c>
      <c r="I103" s="20">
        <f>IF('Résultat - projection'!$B$210=2,'Résultat - projection'!N19, IF('Résultat - projection'!$B$210=3, 'Résultat - projection'!N58, IF('Résultat - projection'!$B$210=4, 'Résultat - projection'!N97,'Clés de répartition'!R103)))</f>
        <v>1.1408710674668101</v>
      </c>
      <c r="J103" s="496">
        <f>IF('Résultat - projection'!$B$210=2,'Résultat - projection'!O19, IF('Résultat - projection'!$B$210=3, 'Résultat - projection'!O58, IF('Résultat - projection'!$B$210=4, 'Résultat - projection'!O97,'Clés de répartition'!S103)))</f>
        <v>33.089639272226599</v>
      </c>
      <c r="K103" s="20">
        <v>20.3550705095262</v>
      </c>
      <c r="L103" s="20">
        <v>39.246941869901299</v>
      </c>
      <c r="M103" s="20">
        <v>27.901855022831</v>
      </c>
      <c r="N103" s="20">
        <v>15.8323695217312</v>
      </c>
      <c r="O103" s="20">
        <v>12.369979113527201</v>
      </c>
      <c r="P103" s="20">
        <v>8.4599490667577903</v>
      </c>
      <c r="Q103" s="20">
        <v>8.1728881278538807</v>
      </c>
      <c r="R103" s="20">
        <v>1.1408710674668101</v>
      </c>
      <c r="S103" s="20">
        <v>33.089639272226599</v>
      </c>
      <c r="T103" s="20"/>
      <c r="U103" s="20"/>
      <c r="V103" s="224"/>
      <c r="W103" s="224"/>
      <c r="X103" s="224"/>
      <c r="Y103" s="224"/>
      <c r="Z103" s="224"/>
      <c r="AA103" s="224"/>
      <c r="AB103" s="224"/>
      <c r="AC103" s="224"/>
      <c r="AD103" s="224"/>
      <c r="AE103" s="224"/>
      <c r="AF103" s="224"/>
      <c r="AG103" s="224"/>
    </row>
    <row r="104" spans="1:33">
      <c r="A104" s="347" t="e" vm="11">
        <v>#VALUE!</v>
      </c>
      <c r="B104" s="20">
        <f>IF('Résultat - projection'!$B$210=2,'Résultat - projection'!G20, IF('Résultat - projection'!$B$210=3, 'Résultat - projection'!G59, IF('Résultat - projection'!$B$210=4, 'Résultat - projection'!G98,'Clés de répartition'!K104)))</f>
        <v>15.6438063747441</v>
      </c>
      <c r="C104" s="20">
        <f>IF('Résultat - projection'!$B$210=2,'Résultat - projection'!H20, IF('Résultat - projection'!$B$210=3, 'Résultat - projection'!H59, IF('Résultat - projection'!$B$210=4, 'Résultat - projection'!H98,'Clés de répartition'!L104)))</f>
        <v>38.227665720959898</v>
      </c>
      <c r="D104" s="20">
        <f>IF('Résultat - projection'!$B$210=2,'Résultat - projection'!I20, IF('Résultat - projection'!$B$210=3, 'Résultat - projection'!I59, IF('Résultat - projection'!$B$210=4, 'Résultat - projection'!I98,'Clés de répartition'!M104)))</f>
        <v>26.3246963656592</v>
      </c>
      <c r="E104" s="20">
        <f>IF('Résultat - projection'!$B$210=2,'Résultat - projection'!J20, IF('Résultat - projection'!$B$210=3, 'Résultat - projection'!J59, IF('Résultat - projection'!$B$210=4, 'Résultat - projection'!J98,'Clés de répartition'!N104)))</f>
        <v>20.7625010723029</v>
      </c>
      <c r="F104" s="20">
        <f>IF('Résultat - projection'!$B$210=2,'Résultat - projection'!K20, IF('Résultat - projection'!$B$210=3, 'Résultat - projection'!K59, IF('Résultat - projection'!$B$210=4, 'Résultat - projection'!K98,'Clés de répartition'!O104)))</f>
        <v>9.9991732703748699</v>
      </c>
      <c r="G104" s="20">
        <f>IF('Résultat - projection'!$B$210=2,'Résultat - projection'!L20, IF('Résultat - projection'!$B$210=3, 'Résultat - projection'!L59, IF('Résultat - projection'!$B$210=4, 'Résultat - projection'!L98,'Clés de répartition'!P104)))</f>
        <v>8.8152948611064197</v>
      </c>
      <c r="H104" s="20">
        <f>IF('Résultat - projection'!$B$210=2,'Résultat - projection'!M20, IF('Résultat - projection'!$B$210=3, 'Résultat - projection'!M59, IF('Résultat - projection'!$B$210=4, 'Résultat - projection'!M98,'Clés de répartition'!Q104)))</f>
        <v>6.4680256814388999</v>
      </c>
      <c r="I104" s="20">
        <f>IF('Résultat - projection'!$B$210=2,'Résultat - projection'!N20, IF('Résultat - projection'!$B$210=3, 'Résultat - projection'!N59, IF('Résultat - projection'!$B$210=4, 'Résultat - projection'!N98,'Clés de répartition'!R104)))</f>
        <v>1.4629062378334901</v>
      </c>
      <c r="J104" s="496">
        <f>IF('Résultat - projection'!$B$210=2,'Résultat - projection'!O20, IF('Résultat - projection'!$B$210=3, 'Résultat - projection'!O59, IF('Résultat - projection'!$B$210=4, 'Résultat - projection'!O98,'Clés de répartition'!S104)))</f>
        <v>24.119899085209799</v>
      </c>
      <c r="K104" s="20">
        <v>15.6438063747441</v>
      </c>
      <c r="L104" s="20">
        <v>38.227665720959898</v>
      </c>
      <c r="M104" s="20">
        <v>26.3246963656592</v>
      </c>
      <c r="N104" s="20">
        <v>20.7625010723029</v>
      </c>
      <c r="O104" s="20">
        <v>9.9991732703748699</v>
      </c>
      <c r="P104" s="20">
        <v>8.8152948611064197</v>
      </c>
      <c r="Q104" s="20">
        <v>6.4680256814388999</v>
      </c>
      <c r="R104" s="20">
        <v>1.4629062378334901</v>
      </c>
      <c r="S104" s="20">
        <v>24.119899085209799</v>
      </c>
      <c r="T104" s="20"/>
      <c r="U104" s="20"/>
      <c r="V104" s="224"/>
      <c r="W104" s="224"/>
      <c r="X104" s="224"/>
      <c r="Y104" s="224"/>
      <c r="Z104" s="224"/>
      <c r="AA104" s="224"/>
      <c r="AB104" s="224"/>
      <c r="AC104" s="224"/>
      <c r="AD104" s="224"/>
      <c r="AE104" s="224"/>
      <c r="AF104" s="224"/>
      <c r="AG104" s="224"/>
    </row>
    <row r="105" spans="1:33">
      <c r="A105" s="347" t="e" vm="12">
        <v>#VALUE!</v>
      </c>
      <c r="B105" s="20">
        <f>IF('Résultat - projection'!$B$210=2,'Résultat - projection'!G21, IF('Résultat - projection'!$B$210=3, 'Résultat - projection'!G60, IF('Résultat - projection'!$B$210=4, 'Résultat - projection'!G99,'Clés de répartition'!K105)))</f>
        <v>15.2246086518041</v>
      </c>
      <c r="C105" s="20">
        <f>IF('Résultat - projection'!$B$210=2,'Résultat - projection'!H21, IF('Résultat - projection'!$B$210=3, 'Résultat - projection'!H60, IF('Résultat - projection'!$B$210=4, 'Résultat - projection'!H99,'Clés de répartition'!L105)))</f>
        <v>47.502691502580198</v>
      </c>
      <c r="D105" s="20">
        <f>IF('Résultat - projection'!$B$210=2,'Résultat - projection'!I21, IF('Résultat - projection'!$B$210=3, 'Résultat - projection'!I60, IF('Résultat - projection'!$B$210=4, 'Résultat - projection'!I99,'Clés de répartition'!M105)))</f>
        <v>19.636135980852799</v>
      </c>
      <c r="E105" s="20">
        <f>IF('Résultat - projection'!$B$210=2,'Résultat - projection'!J21, IF('Résultat - projection'!$B$210=3, 'Résultat - projection'!J60, IF('Résultat - projection'!$B$210=4, 'Résultat - projection'!J99,'Clés de répartition'!N105)))</f>
        <v>15.908136396614299</v>
      </c>
      <c r="F105" s="20">
        <f>IF('Résultat - projection'!$B$210=2,'Résultat - projection'!K21, IF('Résultat - projection'!$B$210=3, 'Résultat - projection'!K60, IF('Résultat - projection'!$B$210=4, 'Résultat - projection'!K99,'Clés de répartition'!O105)))</f>
        <v>12.6024475595258</v>
      </c>
      <c r="G105" s="20">
        <f>IF('Résultat - projection'!$B$210=2,'Résultat - projection'!L21, IF('Résultat - projection'!$B$210=3, 'Résultat - projection'!L60, IF('Résultat - projection'!$B$210=4, 'Résultat - projection'!L99,'Clés de répartition'!P105)))</f>
        <v>16.749923060000601</v>
      </c>
      <c r="H105" s="20">
        <f>IF('Résultat - projection'!$B$210=2,'Résultat - projection'!M21, IF('Résultat - projection'!$B$210=3, 'Résultat - projection'!M60, IF('Résultat - projection'!$B$210=4, 'Résultat - projection'!M99,'Clés de répartition'!Q105)))</f>
        <v>6.1451600035457803</v>
      </c>
      <c r="I105" s="20">
        <f>IF('Résultat - projection'!$B$210=2,'Résultat - projection'!N21, IF('Résultat - projection'!$B$210=3, 'Résultat - projection'!N60, IF('Résultat - projection'!$B$210=4, 'Résultat - projection'!N99,'Clés de répartition'!R105)))</f>
        <v>1.1778853688029001</v>
      </c>
      <c r="J105" s="496">
        <f>IF('Résultat - projection'!$B$210=2,'Résultat - projection'!O21, IF('Résultat - projection'!$B$210=3, 'Résultat - projection'!O60, IF('Résultat - projection'!$B$210=4, 'Résultat - projection'!O99,'Clés de répartition'!S105)))</f>
        <v>23.381810728443199</v>
      </c>
      <c r="K105" s="20">
        <v>15.2246086518041</v>
      </c>
      <c r="L105" s="20">
        <v>47.502691502580198</v>
      </c>
      <c r="M105" s="20">
        <v>19.636135980852799</v>
      </c>
      <c r="N105" s="20">
        <v>15.908136396614299</v>
      </c>
      <c r="O105" s="20">
        <v>12.6024475595258</v>
      </c>
      <c r="P105" s="20">
        <v>16.749923060000601</v>
      </c>
      <c r="Q105" s="20">
        <v>6.1451600035457803</v>
      </c>
      <c r="R105" s="20">
        <v>1.1778853688029001</v>
      </c>
      <c r="S105" s="20">
        <v>23.381810728443199</v>
      </c>
      <c r="T105" s="20"/>
      <c r="U105" s="20"/>
      <c r="V105" s="224"/>
      <c r="W105" s="224"/>
      <c r="X105" s="224"/>
      <c r="Y105" s="224"/>
      <c r="Z105" s="224"/>
      <c r="AA105" s="224"/>
      <c r="AB105" s="224"/>
      <c r="AC105" s="224"/>
      <c r="AD105" s="224"/>
      <c r="AE105" s="224"/>
      <c r="AF105" s="224"/>
      <c r="AG105" s="224"/>
    </row>
    <row r="106" spans="1:33">
      <c r="A106" s="347" t="e" vm="13">
        <v>#VALUE!</v>
      </c>
      <c r="B106" s="20">
        <f>IF('Résultat - projection'!$B$210=2,'Résultat - projection'!G22, IF('Résultat - projection'!$B$210=3, 'Résultat - projection'!G61, IF('Résultat - projection'!$B$210=4, 'Résultat - projection'!G100,'Clés de répartition'!K106)))</f>
        <v>18.936042886746598</v>
      </c>
      <c r="C106" s="20">
        <f>IF('Résultat - projection'!$B$210=2,'Résultat - projection'!H22, IF('Résultat - projection'!$B$210=3, 'Résultat - projection'!H61, IF('Résultat - projection'!$B$210=4, 'Résultat - projection'!H100,'Clés de répartition'!L106)))</f>
        <v>50.006753641876202</v>
      </c>
      <c r="D106" s="20">
        <f>IF('Résultat - projection'!$B$210=2,'Résultat - projection'!I22, IF('Résultat - projection'!$B$210=3, 'Résultat - projection'!I61, IF('Résultat - projection'!$B$210=4, 'Résultat - projection'!I100,'Clés de répartition'!M106)))</f>
        <v>8.9</v>
      </c>
      <c r="E106" s="20">
        <f>IF('Résultat - projection'!$B$210=2,'Résultat - projection'!J22, IF('Résultat - projection'!$B$210=3, 'Résultat - projection'!J61, IF('Résultat - projection'!$B$210=4, 'Résultat - projection'!J100,'Clés de répartition'!N106)))</f>
        <v>10.076037078766801</v>
      </c>
      <c r="F106" s="20">
        <f>IF('Résultat - projection'!$B$210=2,'Résultat - projection'!K22, IF('Résultat - projection'!$B$210=3, 'Résultat - projection'!K61, IF('Résultat - projection'!$B$210=4, 'Résultat - projection'!K100,'Clés de répartition'!O106)))</f>
        <v>18.846734390485601</v>
      </c>
      <c r="G106" s="20">
        <f>IF('Résultat - projection'!$B$210=2,'Résultat - projection'!L22, IF('Résultat - projection'!$B$210=3, 'Résultat - projection'!L61, IF('Résultat - projection'!$B$210=4, 'Résultat - projection'!L100,'Clés de répartition'!P106)))</f>
        <v>16.595110172812699</v>
      </c>
      <c r="H106" s="20">
        <f>IF('Résultat - projection'!$B$210=2,'Résultat - projection'!M22, IF('Résultat - projection'!$B$210=3, 'Résultat - projection'!M61, IF('Résultat - projection'!$B$210=4, 'Résultat - projection'!M100,'Clés de répartition'!Q106)))</f>
        <v>2.6</v>
      </c>
      <c r="I106" s="20">
        <f>IF('Résultat - projection'!$B$210=2,'Résultat - projection'!N22, IF('Résultat - projection'!$B$210=3, 'Résultat - projection'!N61, IF('Résultat - projection'!$B$210=4, 'Résultat - projection'!N100,'Clés de répartition'!R106)))</f>
        <v>0.71967120762060799</v>
      </c>
      <c r="J106" s="496">
        <f>IF('Résultat - projection'!$B$210=2,'Résultat - projection'!O22, IF('Résultat - projection'!$B$210=3, 'Résultat - projection'!O61, IF('Résultat - projection'!$B$210=4, 'Résultat - projection'!O100,'Clés de répartition'!S106)))</f>
        <v>26.835718533201199</v>
      </c>
      <c r="K106" s="20">
        <v>18.936042886746598</v>
      </c>
      <c r="L106" s="20">
        <v>50.006753641876202</v>
      </c>
      <c r="M106" s="20">
        <v>8.9</v>
      </c>
      <c r="N106" s="20">
        <v>10.076037078766801</v>
      </c>
      <c r="O106" s="20">
        <v>18.846734390485601</v>
      </c>
      <c r="P106" s="20">
        <v>16.595110172812699</v>
      </c>
      <c r="Q106" s="20">
        <v>2.6</v>
      </c>
      <c r="R106" s="20">
        <v>0.71967120762060799</v>
      </c>
      <c r="S106" s="20">
        <v>26.835718533201199</v>
      </c>
      <c r="T106" s="20"/>
      <c r="U106" s="20"/>
      <c r="V106" s="224"/>
      <c r="W106" s="224"/>
      <c r="X106" s="224"/>
      <c r="Y106" s="224"/>
      <c r="Z106" s="224"/>
      <c r="AA106" s="224"/>
      <c r="AB106" s="224"/>
      <c r="AC106" s="224"/>
      <c r="AD106" s="224"/>
      <c r="AE106" s="224"/>
      <c r="AF106" s="224"/>
      <c r="AG106" s="224"/>
    </row>
    <row r="107" spans="1:33">
      <c r="A107" s="347" t="e" vm="14">
        <v>#VALUE!</v>
      </c>
      <c r="B107" s="20">
        <f>IF('Résultat - projection'!$B$210=2,'Résultat - projection'!G23, IF('Résultat - projection'!$B$210=3, 'Résultat - projection'!G62, IF('Résultat - projection'!$B$210=4, 'Résultat - projection'!G101,'Clés de répartition'!K107)))</f>
        <v>23.349024550635701</v>
      </c>
      <c r="C107" s="20">
        <f>IF('Résultat - projection'!$B$210=2,'Résultat - projection'!H23, IF('Résultat - projection'!$B$210=3, 'Résultat - projection'!H62, IF('Résultat - projection'!$B$210=4, 'Résultat - projection'!H101,'Clés de répartition'!L107)))</f>
        <v>91.775122804495297</v>
      </c>
      <c r="D107" s="20">
        <f>IF('Résultat - projection'!$B$210=2,'Résultat - projection'!I23, IF('Résultat - projection'!$B$210=3, 'Résultat - projection'!I62, IF('Résultat - projection'!$B$210=4, 'Résultat - projection'!I101,'Clés de répartition'!M107)))</f>
        <v>52.962045209903103</v>
      </c>
      <c r="E107" s="20">
        <f>IF('Résultat - projection'!$B$210=2,'Résultat - projection'!J23, IF('Résultat - projection'!$B$210=3, 'Résultat - projection'!J62, IF('Résultat - projection'!$B$210=4, 'Résultat - projection'!J101,'Clés de répartition'!N107)))</f>
        <v>0</v>
      </c>
      <c r="F107" s="20">
        <f>IF('Résultat - projection'!$B$210=2,'Résultat - projection'!K23, IF('Résultat - projection'!$B$210=3, 'Résultat - projection'!K62, IF('Résultat - projection'!$B$210=4, 'Résultat - projection'!K101,'Clés de répartition'!O107)))</f>
        <v>25.412995031419001</v>
      </c>
      <c r="G107" s="20">
        <f>IF('Résultat - projection'!$B$210=2,'Résultat - projection'!L23, IF('Résultat - projection'!$B$210=3, 'Résultat - projection'!L62, IF('Résultat - projection'!$B$210=4, 'Résultat - projection'!L101,'Clés de répartition'!P107)))</f>
        <v>35.780950327079303</v>
      </c>
      <c r="H107" s="20">
        <f>IF('Résultat - projection'!$B$210=2,'Résultat - projection'!M23, IF('Résultat - projection'!$B$210=3, 'Résultat - projection'!M62, IF('Résultat - projection'!$B$210=4, 'Résultat - projection'!M101,'Clés de répartition'!Q107)))</f>
        <v>15.422260495156101</v>
      </c>
      <c r="I107" s="20">
        <f>IF('Résultat - projection'!$B$210=2,'Résultat - projection'!N23, IF('Résultat - projection'!$B$210=3, 'Résultat - projection'!N62, IF('Résultat - projection'!$B$210=4, 'Résultat - projection'!N101,'Clés de répartition'!R107)))</f>
        <v>0</v>
      </c>
      <c r="J107" s="496">
        <f>IF('Résultat - projection'!$B$210=2,'Résultat - projection'!O23, IF('Résultat - projection'!$B$210=3, 'Résultat - projection'!O62, IF('Résultat - projection'!$B$210=4, 'Résultat - projection'!O101,'Clés de répartition'!S107)))</f>
        <v>33.2380589653661</v>
      </c>
      <c r="K107" s="20">
        <v>23.349024550635701</v>
      </c>
      <c r="L107" s="20">
        <v>91.775122804495297</v>
      </c>
      <c r="M107" s="20">
        <v>52.962045209903103</v>
      </c>
      <c r="N107" s="20">
        <v>0</v>
      </c>
      <c r="O107" s="20">
        <v>25.412995031419001</v>
      </c>
      <c r="P107" s="20">
        <v>35.780950327079303</v>
      </c>
      <c r="Q107" s="20">
        <v>15.422260495156101</v>
      </c>
      <c r="R107" s="20">
        <v>0</v>
      </c>
      <c r="S107" s="20">
        <v>33.2380589653661</v>
      </c>
      <c r="T107" s="20"/>
      <c r="U107" s="20"/>
      <c r="V107" s="224"/>
      <c r="W107" s="224"/>
      <c r="X107" s="224"/>
      <c r="Y107" s="224"/>
      <c r="Z107" s="224"/>
      <c r="AA107" s="224"/>
      <c r="AB107" s="224"/>
      <c r="AC107" s="224"/>
      <c r="AD107" s="224"/>
      <c r="AE107" s="224"/>
      <c r="AF107" s="224"/>
      <c r="AG107" s="224"/>
    </row>
    <row r="108" spans="1:33">
      <c r="A108" s="347" t="e" vm="15">
        <v>#VALUE!</v>
      </c>
      <c r="B108" s="20">
        <f>IF('Résultat - projection'!$B$210=2,'Résultat - projection'!G24, IF('Résultat - projection'!$B$210=3, 'Résultat - projection'!G63, IF('Résultat - projection'!$B$210=4, 'Résultat - projection'!G102,'Clés de répartition'!K108)))</f>
        <v>14.580850454259</v>
      </c>
      <c r="C108" s="20">
        <f>IF('Résultat - projection'!$B$210=2,'Résultat - projection'!H24, IF('Résultat - projection'!$B$210=3, 'Résultat - projection'!H63, IF('Résultat - projection'!$B$210=4, 'Résultat - projection'!H102,'Clés de répartition'!L108)))</f>
        <v>28.759378115818599</v>
      </c>
      <c r="D108" s="20">
        <f>IF('Résultat - projection'!$B$210=2,'Résultat - projection'!I24, IF('Résultat - projection'!$B$210=3, 'Résultat - projection'!I63, IF('Résultat - projection'!$B$210=4, 'Résultat - projection'!I102,'Clés de répartition'!M108)))</f>
        <v>14.743578977552</v>
      </c>
      <c r="E108" s="20">
        <f>IF('Résultat - projection'!$B$210=2,'Résultat - projection'!J24, IF('Résultat - projection'!$B$210=3, 'Résultat - projection'!J63, IF('Résultat - projection'!$B$210=4, 'Résultat - projection'!J102,'Clés de répartition'!N108)))</f>
        <v>21.2116746149931</v>
      </c>
      <c r="F108" s="20">
        <f>IF('Résultat - projection'!$B$210=2,'Résultat - projection'!K24, IF('Résultat - projection'!$B$210=3, 'Résultat - projection'!K63, IF('Résultat - projection'!$B$210=4, 'Résultat - projection'!K102,'Clés de répartition'!O108)))</f>
        <v>7.7584854427035301</v>
      </c>
      <c r="G108" s="20">
        <f>IF('Résultat - projection'!$B$210=2,'Résultat - projection'!L24, IF('Résultat - projection'!$B$210=3, 'Résultat - projection'!L63, IF('Résultat - projection'!$B$210=4, 'Résultat - projection'!L102,'Clés de répartition'!P108)))</f>
        <v>6.4776948990422403</v>
      </c>
      <c r="H108" s="20">
        <f>IF('Résultat - projection'!$B$210=2,'Résultat - projection'!M24, IF('Résultat - projection'!$B$210=3, 'Résultat - projection'!M63, IF('Résultat - projection'!$B$210=4, 'Résultat - projection'!M102,'Clés de répartition'!Q108)))</f>
        <v>3.498756758971</v>
      </c>
      <c r="I108" s="20">
        <f>IF('Résultat - projection'!$B$210=2,'Résultat - projection'!N24, IF('Résultat - projection'!$B$210=3, 'Résultat - projection'!N63, IF('Résultat - projection'!$B$210=4, 'Résultat - projection'!N102,'Clés de répartition'!R108)))</f>
        <v>1.51083391453507</v>
      </c>
      <c r="J108" s="496">
        <f>IF('Résultat - projection'!$B$210=2,'Résultat - projection'!O24, IF('Résultat - projection'!$B$210=3, 'Résultat - projection'!O63, IF('Résultat - projection'!$B$210=4, 'Résultat - projection'!O102,'Clés de répartition'!S108)))</f>
        <v>24.834486913394802</v>
      </c>
      <c r="K108" s="20">
        <v>14.580850454259</v>
      </c>
      <c r="L108" s="20">
        <v>28.759378115818599</v>
      </c>
      <c r="M108" s="20">
        <v>14.743578977552</v>
      </c>
      <c r="N108" s="20">
        <v>21.2116746149931</v>
      </c>
      <c r="O108" s="20">
        <v>7.7584854427035301</v>
      </c>
      <c r="P108" s="20">
        <v>6.4776948990422403</v>
      </c>
      <c r="Q108" s="20">
        <v>3.498756758971</v>
      </c>
      <c r="R108" s="20">
        <v>1.51083391453507</v>
      </c>
      <c r="S108" s="20">
        <v>24.834486913394802</v>
      </c>
      <c r="T108" s="20"/>
      <c r="U108" s="20"/>
      <c r="V108" s="224"/>
      <c r="W108" s="224"/>
      <c r="X108" s="224"/>
      <c r="Y108" s="224"/>
      <c r="Z108" s="224"/>
      <c r="AA108" s="224"/>
      <c r="AB108" s="224"/>
      <c r="AC108" s="224"/>
      <c r="AD108" s="224"/>
      <c r="AE108" s="224"/>
      <c r="AF108" s="224"/>
      <c r="AG108" s="224"/>
    </row>
    <row r="109" spans="1:33">
      <c r="A109" s="107" t="s">
        <v>585</v>
      </c>
      <c r="B109" s="302"/>
      <c r="C109" s="302"/>
      <c r="D109" s="302"/>
      <c r="E109" s="302"/>
      <c r="F109" s="302"/>
      <c r="G109" s="302"/>
      <c r="H109" s="302"/>
      <c r="I109" s="302"/>
      <c r="J109" s="497"/>
      <c r="K109" s="336"/>
      <c r="L109" s="336"/>
      <c r="M109" s="336"/>
      <c r="N109" s="336"/>
      <c r="O109" s="336"/>
      <c r="P109" s="336"/>
      <c r="Q109" s="336"/>
      <c r="R109" s="336"/>
      <c r="S109" s="336"/>
      <c r="T109" s="20"/>
      <c r="U109" s="20"/>
      <c r="V109" s="224"/>
      <c r="W109" s="224"/>
      <c r="X109" s="224"/>
      <c r="Y109" s="224"/>
      <c r="Z109" s="224"/>
      <c r="AA109" s="224"/>
      <c r="AB109" s="224"/>
      <c r="AC109" s="224"/>
      <c r="AD109" s="224"/>
      <c r="AE109" s="224"/>
      <c r="AF109" s="224"/>
      <c r="AG109" s="224"/>
    </row>
    <row r="110" spans="1:33" ht="17">
      <c r="A110" s="66" t="e" vm="16">
        <v>#VALUE!</v>
      </c>
      <c r="B110" s="20">
        <f>IF('Résultat - projection'!$B$210=2,'Résultat - projection'!G26, IF('Résultat - projection'!$B$210=3, 'Résultat - projection'!G65, IF('Résultat - projection'!$B$210=4, 'Résultat - projection'!G104,'Clés de répartition'!K110)))</f>
        <v>18.680937512124</v>
      </c>
      <c r="C110" s="20">
        <f>IF('Résultat - projection'!$B$210=2,'Résultat - projection'!H26, IF('Résultat - projection'!$B$210=3, 'Résultat - projection'!H65, IF('Résultat - projection'!$B$210=4, 'Résultat - projection'!H104,'Clés de répartition'!L110)))</f>
        <v>40.089549994197</v>
      </c>
      <c r="D110" s="20">
        <f>IF('Résultat - projection'!$B$210=2,'Résultat - projection'!I26, IF('Résultat - projection'!$B$210=3, 'Résultat - projection'!I65, IF('Résultat - projection'!$B$210=4, 'Résultat - projection'!I104,'Clés de répartition'!M110)))</f>
        <v>25.065600293558401</v>
      </c>
      <c r="E110" s="20">
        <f>IF('Résultat - projection'!$B$210=2,'Résultat - projection'!J26, IF('Résultat - projection'!$B$210=3, 'Résultat - projection'!J65, IF('Résultat - projection'!$B$210=4, 'Résultat - projection'!J104,'Clés de répartition'!N110)))</f>
        <v>14.3081169579327</v>
      </c>
      <c r="F110" s="20">
        <f>IF('Résultat - projection'!$B$210=2,'Résultat - projection'!K26, IF('Résultat - projection'!$B$210=3, 'Résultat - projection'!K65, IF('Résultat - projection'!$B$210=4, 'Résultat - projection'!K104,'Clés de répartition'!O110)))</f>
        <v>11.199259146373</v>
      </c>
      <c r="G110" s="20">
        <f>IF('Résultat - projection'!$B$210=2,'Résultat - projection'!L26, IF('Résultat - projection'!$B$210=3, 'Résultat - projection'!L65, IF('Résultat - projection'!$B$210=4, 'Résultat - projection'!L104,'Clés de répartition'!P110)))</f>
        <v>10.235931186559799</v>
      </c>
      <c r="H110" s="20">
        <f>IF('Résultat - projection'!$B$210=2,'Résultat - projection'!M26, IF('Résultat - projection'!$B$210=3, 'Résultat - projection'!M65, IF('Résultat - projection'!$B$210=4, 'Résultat - projection'!M104,'Clés de répartition'!Q110)))</f>
        <v>6.6470734970885097</v>
      </c>
      <c r="I110" s="20">
        <f>IF('Résultat - projection'!$B$210=2,'Résultat - projection'!N26, IF('Résultat - projection'!$B$210=3, 'Résultat - projection'!N65, IF('Résultat - projection'!$B$210=4, 'Résultat - projection'!N104,'Clés de répartition'!R110)))</f>
        <v>1.0303170422124599</v>
      </c>
      <c r="J110" s="496">
        <f>IF('Résultat - projection'!$B$210=2,'Résultat - projection'!O26, IF('Résultat - projection'!$B$210=3, 'Résultat - projection'!O65, IF('Résultat - projection'!$B$210=4, 'Résultat - projection'!O104,'Clés de répartition'!S110)))</f>
        <v>31.549778815711498</v>
      </c>
      <c r="K110" s="20">
        <v>18.680937512124</v>
      </c>
      <c r="L110" s="20">
        <v>40.089549994197</v>
      </c>
      <c r="M110" s="20">
        <v>25.065600293558401</v>
      </c>
      <c r="N110" s="20">
        <v>14.3081169579327</v>
      </c>
      <c r="O110" s="20">
        <v>11.199259146373</v>
      </c>
      <c r="P110" s="20">
        <v>10.235931186559799</v>
      </c>
      <c r="Q110" s="20">
        <v>6.6470734970885097</v>
      </c>
      <c r="R110" s="20">
        <v>1.0303170422124599</v>
      </c>
      <c r="S110" s="20">
        <v>31.549778815711498</v>
      </c>
      <c r="T110" s="20"/>
      <c r="U110" s="20"/>
      <c r="V110" s="224"/>
      <c r="W110" s="224"/>
      <c r="X110" s="224"/>
      <c r="Y110" s="224"/>
      <c r="Z110" s="224"/>
      <c r="AA110" s="224"/>
      <c r="AB110" s="224"/>
      <c r="AC110" s="224"/>
      <c r="AD110" s="224"/>
      <c r="AE110" s="224"/>
      <c r="AF110" s="224"/>
      <c r="AG110" s="224"/>
    </row>
    <row r="111" spans="1:33" ht="17">
      <c r="A111" s="66" t="e" vm="17">
        <v>#VALUE!</v>
      </c>
      <c r="B111" s="20">
        <f>IF('Résultat - projection'!$B$210=2,'Résultat - projection'!G27, IF('Résultat - projection'!$B$210=3, 'Résultat - projection'!G66, IF('Résultat - projection'!$B$210=4, 'Résultat - projection'!G105,'Clés de répartition'!K111)))</f>
        <v>19.097289971195298</v>
      </c>
      <c r="C111" s="20">
        <f>IF('Résultat - projection'!$B$210=2,'Résultat - projection'!H27, IF('Résultat - projection'!$B$210=3, 'Résultat - projection'!H66, IF('Résultat - projection'!$B$210=4, 'Résultat - projection'!H105,'Clés de répartition'!L111)))</f>
        <v>43.038942425811101</v>
      </c>
      <c r="D111" s="20">
        <f>IF('Résultat - projection'!$B$210=2,'Résultat - projection'!I27, IF('Résultat - projection'!$B$210=3, 'Résultat - projection'!I66, IF('Résultat - projection'!$B$210=4, 'Résultat - projection'!I105,'Clés de répartition'!M111)))</f>
        <v>34.676662617673799</v>
      </c>
      <c r="E111" s="20">
        <f>IF('Résultat - projection'!$B$210=2,'Résultat - projection'!J27, IF('Résultat - projection'!$B$210=3, 'Résultat - projection'!J66, IF('Résultat - projection'!$B$210=4, 'Résultat - projection'!J105,'Clés de répartition'!N111)))</f>
        <v>14.560982512229099</v>
      </c>
      <c r="F111" s="20">
        <f>IF('Résultat - projection'!$B$210=2,'Résultat - projection'!K27, IF('Résultat - projection'!$B$210=3, 'Résultat - projection'!K66, IF('Résultat - projection'!$B$210=4, 'Résultat - projection'!K105,'Clés de répartition'!O111)))</f>
        <v>12.7484946380828</v>
      </c>
      <c r="G111" s="20">
        <f>IF('Résultat - projection'!$B$210=2,'Résultat - projection'!L27, IF('Résultat - projection'!$B$210=3, 'Résultat - projection'!L66, IF('Résultat - projection'!$B$210=4, 'Résultat - projection'!L105,'Clés de répartition'!P111)))</f>
        <v>11.380590724239299</v>
      </c>
      <c r="H111" s="20">
        <f>IF('Résultat - projection'!$B$210=2,'Résultat - projection'!M27, IF('Résultat - projection'!$B$210=3, 'Résultat - projection'!M66, IF('Résultat - projection'!$B$210=4, 'Résultat - projection'!M105,'Clés de répartition'!Q111)))</f>
        <v>9.2503441643891104</v>
      </c>
      <c r="I111" s="20">
        <f>IF('Résultat - projection'!$B$210=2,'Résultat - projection'!N27, IF('Résultat - projection'!$B$210=3, 'Résultat - projection'!N66, IF('Résultat - projection'!$B$210=4, 'Résultat - projection'!N105,'Clés de répartition'!R111)))</f>
        <v>1.0631401834535099</v>
      </c>
      <c r="J111" s="496">
        <f>IF('Résultat - projection'!$B$210=2,'Résultat - projection'!O27, IF('Résultat - projection'!$B$210=3, 'Résultat - projection'!O66, IF('Résultat - projection'!$B$210=4, 'Résultat - projection'!O105,'Clés de répartition'!S111)))</f>
        <v>35.467672663795902</v>
      </c>
      <c r="K111" s="20">
        <v>19.097289971195298</v>
      </c>
      <c r="L111" s="20">
        <v>43.038942425811101</v>
      </c>
      <c r="M111" s="20">
        <v>34.676662617673799</v>
      </c>
      <c r="N111" s="20">
        <v>14.560982512229099</v>
      </c>
      <c r="O111" s="20">
        <v>12.7484946380828</v>
      </c>
      <c r="P111" s="20">
        <v>11.380590724239299</v>
      </c>
      <c r="Q111" s="20">
        <v>9.2503441643891104</v>
      </c>
      <c r="R111" s="20">
        <v>1.0631401834535099</v>
      </c>
      <c r="S111" s="20">
        <v>35.467672663795902</v>
      </c>
      <c r="T111" s="20"/>
      <c r="U111" s="20"/>
      <c r="V111" s="224"/>
      <c r="W111" s="224"/>
      <c r="X111" s="224"/>
      <c r="Y111" s="224"/>
      <c r="Z111" s="224"/>
      <c r="AA111" s="224"/>
      <c r="AB111" s="224"/>
      <c r="AC111" s="224"/>
      <c r="AD111" s="224"/>
      <c r="AE111" s="224"/>
      <c r="AF111" s="224"/>
      <c r="AG111" s="224"/>
    </row>
    <row r="112" spans="1:33">
      <c r="A112" s="87" t="e" vm="18">
        <v>#VALUE!</v>
      </c>
      <c r="B112" s="20">
        <f>IF('Résultat - projection'!$B$210=2,'Résultat - projection'!G28, IF('Résultat - projection'!$B$210=3, 'Résultat - projection'!G67, IF('Résultat - projection'!$B$210=4, 'Résultat - projection'!G106,'Clés de répartition'!K112)))</f>
        <v>16.0456789914094</v>
      </c>
      <c r="C112" s="20">
        <f>IF('Résultat - projection'!$B$210=2,'Résultat - projection'!H28, IF('Résultat - projection'!$B$210=3, 'Résultat - projection'!H67, IF('Résultat - projection'!$B$210=4, 'Résultat - projection'!H106,'Clés de répartition'!L112)))</f>
        <v>32.779297445103197</v>
      </c>
      <c r="D112" s="20">
        <f>IF('Résultat - projection'!$B$210=2,'Résultat - projection'!I28, IF('Résultat - projection'!$B$210=3, 'Résultat - projection'!I67, IF('Résultat - projection'!$B$210=4, 'Résultat - projection'!I106,'Clés de répartition'!M112)))</f>
        <v>21.924129064033799</v>
      </c>
      <c r="E112" s="20">
        <f>IF('Résultat - projection'!$B$210=2,'Résultat - projection'!J28, IF('Résultat - projection'!$B$210=3, 'Résultat - projection'!J67, IF('Résultat - projection'!$B$210=4, 'Résultat - projection'!J106,'Clés de répartition'!N112)))</f>
        <v>16.929718973793101</v>
      </c>
      <c r="F112" s="20">
        <f>IF('Résultat - projection'!$B$210=2,'Résultat - projection'!K28, IF('Résultat - projection'!$B$210=3, 'Résultat - projection'!K67, IF('Résultat - projection'!$B$210=4, 'Résultat - projection'!K106,'Clés de répartition'!O112)))</f>
        <v>9.5440550448648604</v>
      </c>
      <c r="G112" s="20">
        <f>IF('Résultat - projection'!$B$210=2,'Résultat - projection'!L28, IF('Résultat - projection'!$B$210=3, 'Résultat - projection'!L67, IF('Résultat - projection'!$B$210=4, 'Résultat - projection'!L106,'Clés de répartition'!P112)))</f>
        <v>7.6042732552240704</v>
      </c>
      <c r="H112" s="20">
        <f>IF('Résultat - projection'!$B$210=2,'Résultat - projection'!M28, IF('Résultat - projection'!$B$210=3, 'Résultat - projection'!M67, IF('Résultat - projection'!$B$210=4, 'Résultat - projection'!M106,'Clés de répartition'!Q112)))</f>
        <v>5.6276242619308103</v>
      </c>
      <c r="I112" s="20">
        <f>IF('Résultat - projection'!$B$210=2,'Résultat - projection'!N28, IF('Résultat - projection'!$B$210=3, 'Résultat - projection'!N67, IF('Résultat - projection'!$B$210=4, 'Résultat - projection'!N106,'Clés de répartition'!R112)))</f>
        <v>1.1811430785408099</v>
      </c>
      <c r="J112" s="496">
        <f>IF('Résultat - projection'!$B$210=2,'Résultat - projection'!O28, IF('Résultat - projection'!$B$210=3, 'Résultat - projection'!O67, IF('Résultat - projection'!$B$210=4, 'Résultat - projection'!O106,'Clés de répartition'!S112)))</f>
        <v>26.4595319823168</v>
      </c>
      <c r="K112" s="20">
        <v>16.0456789914094</v>
      </c>
      <c r="L112" s="20">
        <v>32.779297445103197</v>
      </c>
      <c r="M112" s="20">
        <v>21.924129064033799</v>
      </c>
      <c r="N112" s="20">
        <v>16.929718973793101</v>
      </c>
      <c r="O112" s="20">
        <v>9.5440550448648604</v>
      </c>
      <c r="P112" s="20">
        <v>7.6042732552240704</v>
      </c>
      <c r="Q112" s="20">
        <v>5.6276242619308103</v>
      </c>
      <c r="R112" s="20">
        <v>1.1811430785408099</v>
      </c>
      <c r="S112" s="20">
        <v>26.4595319823168</v>
      </c>
      <c r="T112" s="20"/>
      <c r="U112" s="20"/>
      <c r="V112" s="224"/>
      <c r="W112" s="224"/>
      <c r="X112" s="224"/>
      <c r="Y112" s="224"/>
      <c r="Z112" s="224"/>
      <c r="AA112" s="224"/>
      <c r="AB112" s="224"/>
      <c r="AC112" s="224"/>
      <c r="AD112" s="224"/>
      <c r="AE112" s="224"/>
      <c r="AF112" s="224"/>
      <c r="AG112" s="224"/>
    </row>
    <row r="113" spans="1:33">
      <c r="A113" s="63" t="e" vm="19">
        <v>#VALUE!</v>
      </c>
      <c r="B113" s="20">
        <f>IF('Résultat - projection'!$B$210=2,'Résultat - projection'!G29, IF('Résultat - projection'!$B$210=3, 'Résultat - projection'!G68, IF('Résultat - projection'!$B$210=4, 'Résultat - projection'!G107,'Clés de répartition'!K113)))</f>
        <v>22.338950889609599</v>
      </c>
      <c r="C113" s="20">
        <f>IF('Résultat - projection'!$B$210=2,'Résultat - projection'!H29, IF('Résultat - projection'!$B$210=3, 'Résultat - projection'!H68, IF('Résultat - projection'!$B$210=4, 'Résultat - projection'!H107,'Clés de répartition'!L113)))</f>
        <v>58.3999207578049</v>
      </c>
      <c r="D113" s="20">
        <f>IF('Résultat - projection'!$B$210=2,'Résultat - projection'!I29, IF('Résultat - projection'!$B$210=3, 'Résultat - projection'!I68, IF('Résultat - projection'!$B$210=4, 'Résultat - projection'!I107,'Clés de répartition'!M113)))</f>
        <v>27.931528033244799</v>
      </c>
      <c r="E113" s="20">
        <f>IF('Résultat - projection'!$B$210=2,'Résultat - projection'!J29, IF('Résultat - projection'!$B$210=3, 'Résultat - projection'!J68, IF('Résultat - projection'!$B$210=4, 'Résultat - projection'!J107,'Clés de répartition'!N113)))</f>
        <v>13.955559220317401</v>
      </c>
      <c r="F113" s="20">
        <f>IF('Résultat - projection'!$B$210=2,'Résultat - projection'!K29, IF('Résultat - projection'!$B$210=3, 'Résultat - projection'!K68, IF('Résultat - projection'!$B$210=4, 'Résultat - projection'!K107,'Clés de répartition'!O113)))</f>
        <v>17.853007202827399</v>
      </c>
      <c r="G113" s="20">
        <f>IF('Résultat - projection'!$B$210=2,'Résultat - projection'!L29, IF('Résultat - projection'!$B$210=3, 'Résultat - projection'!L68, IF('Résultat - projection'!$B$210=4, 'Résultat - projection'!L107,'Clés de répartition'!P113)))</f>
        <v>18.113014198330902</v>
      </c>
      <c r="H113" s="20">
        <f>IF('Résultat - projection'!$B$210=2,'Résultat - projection'!M29, IF('Résultat - projection'!$B$210=3, 'Résultat - projection'!M68, IF('Résultat - projection'!$B$210=4, 'Résultat - projection'!M107,'Clés de répartition'!Q113)))</f>
        <v>8.53936235438381</v>
      </c>
      <c r="I113" s="20">
        <f>IF('Résultat - projection'!$B$210=2,'Résultat - projection'!N29, IF('Résultat - projection'!$B$210=3, 'Résultat - projection'!N68, IF('Résultat - projection'!$B$210=4, 'Résultat - projection'!N107,'Clés de répartition'!R113)))</f>
        <v>1.0036683372617801</v>
      </c>
      <c r="J113" s="496">
        <f>IF('Résultat - projection'!$B$210=2,'Résultat - projection'!O29, IF('Résultat - projection'!$B$210=3, 'Résultat - projection'!O68, IF('Résultat - projection'!$B$210=4, 'Résultat - projection'!O107,'Clés de répartition'!S113)))</f>
        <v>35.7570491126287</v>
      </c>
      <c r="K113" s="20">
        <v>22.338950889609599</v>
      </c>
      <c r="L113" s="20">
        <v>58.3999207578049</v>
      </c>
      <c r="M113" s="20">
        <v>27.931528033244799</v>
      </c>
      <c r="N113" s="20">
        <v>13.955559220317401</v>
      </c>
      <c r="O113" s="20">
        <v>17.853007202827399</v>
      </c>
      <c r="P113" s="20">
        <v>18.113014198330902</v>
      </c>
      <c r="Q113" s="20">
        <v>8.53936235438381</v>
      </c>
      <c r="R113" s="20">
        <v>1.0036683372617801</v>
      </c>
      <c r="S113" s="20">
        <v>35.7570491126287</v>
      </c>
      <c r="T113" s="20"/>
      <c r="U113" s="20"/>
      <c r="V113" s="224"/>
      <c r="W113" s="224"/>
      <c r="X113" s="224"/>
      <c r="Y113" s="224"/>
      <c r="Z113" s="224"/>
      <c r="AA113" s="224"/>
      <c r="AB113" s="224"/>
      <c r="AC113" s="224"/>
      <c r="AD113" s="224"/>
      <c r="AE113" s="224"/>
      <c r="AF113" s="224"/>
      <c r="AG113" s="224"/>
    </row>
    <row r="114" spans="1:33">
      <c r="A114" s="63" t="e" vm="20">
        <v>#VALUE!</v>
      </c>
      <c r="B114" s="20">
        <f>IF('Résultat - projection'!$B$210=2,'Résultat - projection'!G30, IF('Résultat - projection'!$B$210=3, 'Résultat - projection'!G69, IF('Résultat - projection'!$B$210=4, 'Résultat - projection'!G108,'Clés de répartition'!K114)))</f>
        <v>19.018065070315298</v>
      </c>
      <c r="C114" s="20">
        <f>IF('Résultat - projection'!$B$210=2,'Résultat - projection'!H30, IF('Résultat - projection'!$B$210=3, 'Résultat - projection'!H69, IF('Résultat - projection'!$B$210=4, 'Résultat - projection'!H108,'Clés de répartition'!L114)))</f>
        <v>44.684302846441099</v>
      </c>
      <c r="D114" s="20">
        <f>IF('Résultat - projection'!$B$210=2,'Résultat - projection'!I30, IF('Résultat - projection'!$B$210=3, 'Résultat - projection'!I69, IF('Résultat - projection'!$B$210=4, 'Résultat - projection'!I108,'Clés de répartition'!M114)))</f>
        <v>28.9935673299554</v>
      </c>
      <c r="E114" s="20">
        <f>IF('Résultat - projection'!$B$210=2,'Résultat - projection'!J30, IF('Résultat - projection'!$B$210=3, 'Résultat - projection'!J69, IF('Résultat - projection'!$B$210=4, 'Résultat - projection'!J108,'Clés de répartition'!N114)))</f>
        <v>10.4975995213999</v>
      </c>
      <c r="F114" s="20">
        <f>IF('Résultat - projection'!$B$210=2,'Résultat - projection'!K30, IF('Résultat - projection'!$B$210=3, 'Résultat - projection'!K69, IF('Résultat - projection'!$B$210=4, 'Résultat - projection'!K108,'Clés de répartition'!O114)))</f>
        <v>13.0915828566429</v>
      </c>
      <c r="G114" s="20">
        <f>IF('Résultat - projection'!$B$210=2,'Résultat - projection'!L30, IF('Résultat - projection'!$B$210=3, 'Résultat - projection'!L69, IF('Résultat - projection'!$B$210=4, 'Résultat - projection'!L108,'Clés de répartition'!P114)))</f>
        <v>11.6900931904506</v>
      </c>
      <c r="H114" s="20">
        <f>IF('Résultat - projection'!$B$210=2,'Résultat - projection'!M30, IF('Résultat - projection'!$B$210=3, 'Résultat - projection'!M69, IF('Résultat - projection'!$B$210=4, 'Résultat - projection'!M108,'Clés de répartition'!Q114)))</f>
        <v>7.8429046005167597</v>
      </c>
      <c r="I114" s="20">
        <f>IF('Résultat - projection'!$B$210=2,'Résultat - projection'!N30, IF('Résultat - projection'!$B$210=3, 'Résultat - projection'!N69, IF('Résultat - projection'!$B$210=4, 'Résultat - projection'!N108,'Clés de répartition'!R114)))</f>
        <v>0.76136363636363602</v>
      </c>
      <c r="J114" s="496">
        <f>IF('Résultat - projection'!$B$210=2,'Résultat - projection'!O30, IF('Résultat - projection'!$B$210=3, 'Résultat - projection'!O69, IF('Résultat - projection'!$B$210=4, 'Résultat - projection'!O108,'Clés de répartition'!S114)))</f>
        <v>31.574796101030799</v>
      </c>
      <c r="K114" s="20">
        <v>19.018065070315298</v>
      </c>
      <c r="L114" s="20">
        <v>44.684302846441099</v>
      </c>
      <c r="M114" s="20">
        <v>28.9935673299554</v>
      </c>
      <c r="N114" s="20">
        <v>10.4975995213999</v>
      </c>
      <c r="O114" s="20">
        <v>13.0915828566429</v>
      </c>
      <c r="P114" s="20">
        <v>11.6900931904506</v>
      </c>
      <c r="Q114" s="20">
        <v>7.8429046005167597</v>
      </c>
      <c r="R114" s="20">
        <v>0.76136363636363602</v>
      </c>
      <c r="S114" s="20">
        <v>31.574796101030799</v>
      </c>
      <c r="T114" s="20"/>
      <c r="U114" s="20"/>
      <c r="V114" s="224"/>
      <c r="W114" s="224"/>
      <c r="X114" s="224"/>
      <c r="Y114" s="224"/>
      <c r="Z114" s="224"/>
      <c r="AA114" s="224"/>
      <c r="AB114" s="224"/>
      <c r="AC114" s="224"/>
      <c r="AD114" s="224"/>
      <c r="AE114" s="224"/>
      <c r="AF114" s="224"/>
      <c r="AG114" s="224"/>
    </row>
    <row r="115" spans="1:33" ht="17">
      <c r="A115" s="66" t="e" vm="21">
        <v>#VALUE!</v>
      </c>
      <c r="B115" s="20">
        <f>IF('Résultat - projection'!$B$210=2,'Résultat - projection'!G31, IF('Résultat - projection'!$B$210=3, 'Résultat - projection'!G70, IF('Résultat - projection'!$B$210=4, 'Résultat - projection'!G109,'Clés de répartition'!K115)))</f>
        <v>16.1470056204932</v>
      </c>
      <c r="C115" s="20">
        <f>IF('Résultat - projection'!$B$210=2,'Résultat - projection'!H31, IF('Résultat - projection'!$B$210=3, 'Résultat - projection'!H70, IF('Résultat - projection'!$B$210=4, 'Résultat - projection'!H109,'Clés de répartition'!L115)))</f>
        <v>44.026304574789798</v>
      </c>
      <c r="D115" s="20">
        <f>IF('Résultat - projection'!$B$210=2,'Résultat - projection'!I31, IF('Résultat - projection'!$B$210=3, 'Résultat - projection'!I70, IF('Résultat - projection'!$B$210=4, 'Résultat - projection'!I109,'Clés de répartition'!M115)))</f>
        <v>25.716692310444799</v>
      </c>
      <c r="E115" s="20">
        <f>IF('Résultat - projection'!$B$210=2,'Résultat - projection'!J31, IF('Résultat - projection'!$B$210=3, 'Résultat - projection'!J70, IF('Résultat - projection'!$B$210=4, 'Résultat - projection'!J109,'Clés de répartition'!N115)))</f>
        <v>11.2605975253457</v>
      </c>
      <c r="F115" s="20">
        <f>IF('Résultat - projection'!$B$210=2,'Résultat - projection'!K31, IF('Résultat - projection'!$B$210=3, 'Résultat - projection'!K70, IF('Résultat - projection'!$B$210=4, 'Résultat - projection'!K109,'Clés de répartition'!O115)))</f>
        <v>12.349142342935901</v>
      </c>
      <c r="G115" s="20">
        <f>IF('Résultat - projection'!$B$210=2,'Résultat - projection'!L31, IF('Résultat - projection'!$B$210=3, 'Résultat - projection'!L70, IF('Résultat - projection'!$B$210=4, 'Résultat - projection'!L109,'Clés de répartition'!P115)))</f>
        <v>12.128002373344399</v>
      </c>
      <c r="H115" s="20">
        <f>IF('Résultat - projection'!$B$210=2,'Résultat - projection'!M31, IF('Résultat - projection'!$B$210=3, 'Résultat - projection'!M70, IF('Résultat - projection'!$B$210=4, 'Résultat - projection'!M109,'Clés de répartition'!Q115)))</f>
        <v>7.7456023902386697</v>
      </c>
      <c r="I115" s="20">
        <f>IF('Résultat - projection'!$B$210=2,'Résultat - projection'!N31, IF('Résultat - projection'!$B$210=3, 'Résultat - projection'!N70, IF('Résultat - projection'!$B$210=4, 'Résultat - projection'!N109,'Clés de répartition'!R115)))</f>
        <v>0.81946737037685302</v>
      </c>
      <c r="J115" s="496">
        <f>IF('Résultat - projection'!$B$210=2,'Résultat - projection'!O31, IF('Résultat - projection'!$B$210=3, 'Résultat - projection'!O70, IF('Résultat - projection'!$B$210=4, 'Résultat - projection'!O109,'Clés de répartition'!S115)))</f>
        <v>26.604761249135802</v>
      </c>
      <c r="K115" s="20">
        <v>16.1470056204932</v>
      </c>
      <c r="L115" s="20">
        <v>44.026304574789798</v>
      </c>
      <c r="M115" s="20">
        <v>25.716692310444799</v>
      </c>
      <c r="N115" s="20">
        <v>11.2605975253457</v>
      </c>
      <c r="O115" s="20">
        <v>12.349142342935901</v>
      </c>
      <c r="P115" s="20">
        <v>12.128002373344399</v>
      </c>
      <c r="Q115" s="20">
        <v>7.7456023902386697</v>
      </c>
      <c r="R115" s="20">
        <v>0.81946737037685302</v>
      </c>
      <c r="S115" s="20">
        <v>26.604761249135802</v>
      </c>
      <c r="T115" s="20"/>
      <c r="U115" s="20"/>
      <c r="V115" s="224"/>
      <c r="W115" s="224"/>
      <c r="X115" s="224"/>
      <c r="Y115" s="224"/>
      <c r="Z115" s="224"/>
      <c r="AA115" s="224"/>
      <c r="AB115" s="224"/>
      <c r="AC115" s="224"/>
      <c r="AD115" s="224"/>
      <c r="AE115" s="224"/>
      <c r="AF115" s="224"/>
      <c r="AG115" s="224"/>
    </row>
    <row r="116" spans="1:33">
      <c r="A116" s="63" t="e" vm="22">
        <v>#VALUE!</v>
      </c>
      <c r="B116" s="20">
        <f>IF('Résultat - projection'!$B$210=2,'Résultat - projection'!G32, IF('Résultat - projection'!$B$210=3, 'Résultat - projection'!G71, IF('Résultat - projection'!$B$210=4, 'Résultat - projection'!G110,'Clés de répartition'!K116)))</f>
        <v>18.920830050360699</v>
      </c>
      <c r="C116" s="20">
        <f>IF('Résultat - projection'!$B$210=2,'Résultat - projection'!H32, IF('Résultat - projection'!$B$210=3, 'Résultat - projection'!H71, IF('Résultat - projection'!$B$210=4, 'Résultat - projection'!H110,'Clés de répartition'!L116)))</f>
        <v>36.975024114784802</v>
      </c>
      <c r="D116" s="20">
        <f>IF('Résultat - projection'!$B$210=2,'Résultat - projection'!I32, IF('Résultat - projection'!$B$210=3, 'Résultat - projection'!I71, IF('Résultat - projection'!$B$210=4, 'Résultat - projection'!I110,'Clés de répartition'!M116)))</f>
        <v>21.923395697667399</v>
      </c>
      <c r="E116" s="20">
        <f>IF('Résultat - projection'!$B$210=2,'Résultat - projection'!J32, IF('Résultat - projection'!$B$210=3, 'Résultat - projection'!J71, IF('Résultat - projection'!$B$210=4, 'Résultat - projection'!J110,'Clés de répartition'!N116)))</f>
        <v>15.361647484103701</v>
      </c>
      <c r="F116" s="20">
        <f>IF('Résultat - projection'!$B$210=2,'Résultat - projection'!K32, IF('Résultat - projection'!$B$210=3, 'Résultat - projection'!K71, IF('Résultat - projection'!$B$210=4, 'Résultat - projection'!K110,'Clés de répartition'!O116)))</f>
        <v>11.4980443142568</v>
      </c>
      <c r="G116" s="20">
        <f>IF('Résultat - projection'!$B$210=2,'Résultat - projection'!L32, IF('Résultat - projection'!$B$210=3, 'Résultat - projection'!L71, IF('Résultat - projection'!$B$210=4, 'Résultat - projection'!L110,'Clés de répartition'!P116)))</f>
        <v>9.8612753802830504</v>
      </c>
      <c r="H116" s="20">
        <f>IF('Résultat - projection'!$B$210=2,'Résultat - projection'!M32, IF('Résultat - projection'!$B$210=3, 'Résultat - projection'!M71, IF('Résultat - projection'!$B$210=4, 'Résultat - projection'!M110,'Clés de répartition'!Q116)))</f>
        <v>5.4826122457208504</v>
      </c>
      <c r="I116" s="20">
        <f>IF('Résultat - projection'!$B$210=2,'Résultat - projection'!N32, IF('Résultat - projection'!$B$210=3, 'Résultat - projection'!N71, IF('Résultat - projection'!$B$210=4, 'Résultat - projection'!N110,'Clés de répartition'!R116)))</f>
        <v>1.0958180484226001</v>
      </c>
      <c r="J116" s="496">
        <f>IF('Résultat - projection'!$B$210=2,'Résultat - projection'!O32, IF('Résultat - projection'!$B$210=3, 'Résultat - projection'!O71, IF('Résultat - projection'!$B$210=4, 'Résultat - projection'!O110,'Clés de répartition'!S116)))</f>
        <v>33.3478615277375</v>
      </c>
      <c r="K116" s="20">
        <v>18.920830050360699</v>
      </c>
      <c r="L116" s="20">
        <v>36.975024114784802</v>
      </c>
      <c r="M116" s="20">
        <v>21.923395697667399</v>
      </c>
      <c r="N116" s="20">
        <v>15.361647484103701</v>
      </c>
      <c r="O116" s="20">
        <v>11.4980443142568</v>
      </c>
      <c r="P116" s="20">
        <v>9.8612753802830504</v>
      </c>
      <c r="Q116" s="20">
        <v>5.4826122457208504</v>
      </c>
      <c r="R116" s="20">
        <v>1.0958180484226001</v>
      </c>
      <c r="S116" s="20">
        <v>33.3478615277375</v>
      </c>
      <c r="T116" s="20"/>
      <c r="U116" s="20"/>
      <c r="V116" s="224"/>
      <c r="W116" s="224"/>
      <c r="X116" s="224"/>
      <c r="Y116" s="224"/>
      <c r="Z116" s="224"/>
      <c r="AA116" s="224"/>
      <c r="AB116" s="224"/>
      <c r="AC116" s="224"/>
      <c r="AD116" s="224"/>
      <c r="AE116" s="224"/>
      <c r="AF116" s="224"/>
      <c r="AG116" s="224"/>
    </row>
    <row r="117" spans="1:33">
      <c r="A117" s="63" t="e" vm="23">
        <v>#VALUE!</v>
      </c>
      <c r="B117" s="20">
        <f>IF('Résultat - projection'!$B$210=2,'Résultat - projection'!G33, IF('Résultat - projection'!$B$210=3, 'Résultat - projection'!G72, IF('Résultat - projection'!$B$210=4, 'Résultat - projection'!G111,'Clés de répartition'!K117)))</f>
        <v>20.0037901376047</v>
      </c>
      <c r="C117" s="20">
        <f>IF('Résultat - projection'!$B$210=2,'Résultat - projection'!H33, IF('Résultat - projection'!$B$210=3, 'Résultat - projection'!H72, IF('Résultat - projection'!$B$210=4, 'Résultat - projection'!H111,'Clés de répartition'!L117)))</f>
        <v>45.162151655863198</v>
      </c>
      <c r="D117" s="20">
        <f>IF('Résultat - projection'!$B$210=2,'Résultat - projection'!I33, IF('Résultat - projection'!$B$210=3, 'Résultat - projection'!I72, IF('Résultat - projection'!$B$210=4, 'Résultat - projection'!I111,'Clés de répartition'!M117)))</f>
        <v>36.923785058536197</v>
      </c>
      <c r="E117" s="20">
        <f>IF('Résultat - projection'!$B$210=2,'Résultat - projection'!J33, IF('Résultat - projection'!$B$210=3, 'Résultat - projection'!J72, IF('Résultat - projection'!$B$210=4, 'Résultat - projection'!J111,'Clés de répartition'!N117)))</f>
        <v>11.837735930822999</v>
      </c>
      <c r="F117" s="20">
        <f>IF('Résultat - projection'!$B$210=2,'Résultat - projection'!K33, IF('Résultat - projection'!$B$210=3, 'Résultat - projection'!K72, IF('Résultat - projection'!$B$210=4, 'Résultat - projection'!K111,'Clés de répartition'!O117)))</f>
        <v>11.3011809864834</v>
      </c>
      <c r="G117" s="20">
        <f>IF('Résultat - projection'!$B$210=2,'Résultat - projection'!L33, IF('Résultat - projection'!$B$210=3, 'Résultat - projection'!L72, IF('Résultat - projection'!$B$210=4, 'Résultat - projection'!L111,'Clés de répartition'!P117)))</f>
        <v>11.1490426253573</v>
      </c>
      <c r="H117" s="20">
        <f>IF('Résultat - projection'!$B$210=2,'Résultat - projection'!M33, IF('Résultat - projection'!$B$210=3, 'Résultat - projection'!M72, IF('Résultat - projection'!$B$210=4, 'Résultat - projection'!M111,'Clés de répartition'!Q117)))</f>
        <v>9.6458996602936597</v>
      </c>
      <c r="I117" s="20">
        <f>IF('Résultat - projection'!$B$210=2,'Résultat - projection'!N33, IF('Résultat - projection'!$B$210=3, 'Résultat - projection'!N72, IF('Résultat - projection'!$B$210=4, 'Résultat - projection'!N111,'Clés de répartition'!R117)))</f>
        <v>0.85770711224541896</v>
      </c>
      <c r="J117" s="496">
        <f>IF('Résultat - projection'!$B$210=2,'Résultat - projection'!O33, IF('Résultat - projection'!$B$210=3, 'Résultat - projection'!O72, IF('Résultat - projection'!$B$210=4, 'Résultat - projection'!O111,'Clés de répartition'!S117)))</f>
        <v>34.4524969913669</v>
      </c>
      <c r="K117" s="20">
        <v>20.0037901376047</v>
      </c>
      <c r="L117" s="20">
        <v>45.162151655863198</v>
      </c>
      <c r="M117" s="20">
        <v>36.923785058536197</v>
      </c>
      <c r="N117" s="20">
        <v>11.837735930822999</v>
      </c>
      <c r="O117" s="20">
        <v>11.3011809864834</v>
      </c>
      <c r="P117" s="20">
        <v>11.1490426253573</v>
      </c>
      <c r="Q117" s="20">
        <v>9.6458996602936597</v>
      </c>
      <c r="R117" s="20">
        <v>0.85770711224541896</v>
      </c>
      <c r="S117" s="20">
        <v>34.4524969913669</v>
      </c>
      <c r="T117" s="20"/>
      <c r="U117" s="20"/>
      <c r="V117" s="224"/>
      <c r="W117" s="224"/>
      <c r="X117" s="224"/>
      <c r="Y117" s="224"/>
      <c r="Z117" s="224"/>
      <c r="AA117" s="224"/>
      <c r="AB117" s="224"/>
      <c r="AC117" s="224"/>
      <c r="AD117" s="224"/>
      <c r="AE117" s="224"/>
      <c r="AF117" s="224"/>
      <c r="AG117" s="224"/>
    </row>
    <row r="118" spans="1:33" ht="17" customHeight="1">
      <c r="A118" s="63" t="e" vm="24">
        <v>#VALUE!</v>
      </c>
      <c r="B118" s="20">
        <f>IF('Résultat - projection'!$B$210=2,'Résultat - projection'!G34, IF('Résultat - projection'!$B$210=3, 'Résultat - projection'!G73, IF('Résultat - projection'!$B$210=4, 'Résultat - projection'!G112,'Clés de répartition'!K118)))</f>
        <v>16.770732133282301</v>
      </c>
      <c r="C118" s="20">
        <f>IF('Résultat - projection'!$B$210=2,'Résultat - projection'!H34, IF('Résultat - projection'!$B$210=3, 'Résultat - projection'!H73, IF('Résultat - projection'!$B$210=4, 'Résultat - projection'!H112,'Clés de répartition'!L118)))</f>
        <v>27.416927167752899</v>
      </c>
      <c r="D118" s="20">
        <f>IF('Résultat - projection'!$B$210=2,'Résultat - projection'!I34, IF('Résultat - projection'!$B$210=3, 'Résultat - projection'!I73, IF('Résultat - projection'!$B$210=4, 'Résultat - projection'!I112,'Clés de répartition'!M118)))</f>
        <v>17.930191097095801</v>
      </c>
      <c r="E118" s="20">
        <f>IF('Résultat - projection'!$B$210=2,'Résultat - projection'!J34, IF('Résultat - projection'!$B$210=3, 'Résultat - projection'!J73, IF('Résultat - projection'!$B$210=4, 'Résultat - projection'!J112,'Clés de répartition'!N118)))</f>
        <v>17.023575941251401</v>
      </c>
      <c r="F118" s="20">
        <f>IF('Résultat - projection'!$B$210=2,'Résultat - projection'!K34, IF('Résultat - projection'!$B$210=3, 'Résultat - projection'!K73, IF('Résultat - projection'!$B$210=4, 'Résultat - projection'!K112,'Clés de répartition'!O118)))</f>
        <v>8.3353296055151294</v>
      </c>
      <c r="G118" s="20">
        <f>IF('Résultat - projection'!$B$210=2,'Résultat - projection'!L34, IF('Résultat - projection'!$B$210=3, 'Résultat - projection'!L73, IF('Résultat - projection'!$B$210=4, 'Résultat - projection'!L112,'Clés de répartition'!P118)))</f>
        <v>5.2886250128482502</v>
      </c>
      <c r="H118" s="20">
        <f>IF('Résultat - projection'!$B$210=2,'Résultat - projection'!M34, IF('Résultat - projection'!$B$210=3, 'Résultat - projection'!M73, IF('Résultat - projection'!$B$210=4, 'Résultat - projection'!M112,'Clés de répartition'!Q118)))</f>
        <v>4.6481669796501697</v>
      </c>
      <c r="I118" s="20">
        <f>IF('Résultat - projection'!$B$210=2,'Résultat - projection'!N34, IF('Résultat - projection'!$B$210=3, 'Résultat - projection'!N73, IF('Résultat - projection'!$B$210=4, 'Résultat - projection'!N112,'Clés de répartition'!R118)))</f>
        <v>1.2215463662333701</v>
      </c>
      <c r="J118" s="496">
        <f>IF('Résultat - projection'!$B$210=2,'Résultat - projection'!O34, IF('Résultat - projection'!$B$210=3, 'Résultat - projection'!O73, IF('Résultat - projection'!$B$210=4, 'Résultat - projection'!O112,'Clés de répartition'!S118)))</f>
        <v>25.952894982765201</v>
      </c>
      <c r="K118" s="20">
        <v>16.770732133282301</v>
      </c>
      <c r="L118" s="20">
        <v>27.416927167752899</v>
      </c>
      <c r="M118" s="20">
        <v>17.930191097095801</v>
      </c>
      <c r="N118" s="20">
        <v>17.023575941251401</v>
      </c>
      <c r="O118" s="20">
        <v>8.3353296055151294</v>
      </c>
      <c r="P118" s="20">
        <v>5.2886250128482502</v>
      </c>
      <c r="Q118" s="20">
        <v>4.6481669796501697</v>
      </c>
      <c r="R118" s="20">
        <v>1.2215463662333701</v>
      </c>
      <c r="S118" s="20">
        <v>25.952894982765201</v>
      </c>
      <c r="T118" s="20"/>
      <c r="U118" s="20"/>
      <c r="V118" s="224"/>
      <c r="W118" s="224"/>
      <c r="X118" s="224"/>
      <c r="Y118" s="224"/>
      <c r="Z118" s="224"/>
      <c r="AA118" s="224"/>
      <c r="AB118" s="224"/>
      <c r="AC118" s="224"/>
      <c r="AD118" s="224"/>
      <c r="AE118" s="224"/>
      <c r="AF118" s="224"/>
      <c r="AG118" s="224"/>
    </row>
    <row r="119" spans="1:33">
      <c r="A119" s="63" t="e" vm="25">
        <v>#VALUE!</v>
      </c>
      <c r="B119" s="20">
        <f>IF('Résultat - projection'!$B$210=2,'Résultat - projection'!G35, IF('Résultat - projection'!$B$210=3, 'Résultat - projection'!G74, IF('Résultat - projection'!$B$210=4, 'Résultat - projection'!G113,'Clés de répartition'!K119)))</f>
        <v>20.1820562457678</v>
      </c>
      <c r="C119" s="20">
        <f>IF('Résultat - projection'!$B$210=2,'Résultat - projection'!H35, IF('Résultat - projection'!$B$210=3, 'Résultat - projection'!H74, IF('Résultat - projection'!$B$210=4, 'Résultat - projection'!H113,'Clés de répartition'!L119)))</f>
        <v>60.674173197119202</v>
      </c>
      <c r="D119" s="20">
        <f>IF('Résultat - projection'!$B$210=2,'Résultat - projection'!I35, IF('Résultat - projection'!$B$210=3, 'Résultat - projection'!I74, IF('Résultat - projection'!$B$210=4, 'Résultat - projection'!I113,'Clés de répartition'!M119)))</f>
        <v>12.401933376877899</v>
      </c>
      <c r="E119" s="20">
        <f>IF('Résultat - projection'!$B$210=2,'Résultat - projection'!J35, IF('Résultat - projection'!$B$210=3, 'Résultat - projection'!J74, IF('Résultat - projection'!$B$210=4, 'Résultat - projection'!J113,'Clés de répartition'!N119)))</f>
        <v>17.924277980176299</v>
      </c>
      <c r="F119" s="20">
        <f>IF('Résultat - projection'!$B$210=2,'Résultat - projection'!K35, IF('Résultat - projection'!$B$210=3, 'Résultat - projection'!K74, IF('Résultat - projection'!$B$210=4, 'Résultat - projection'!K113,'Clés de répartition'!O119)))</f>
        <v>15.6058579068836</v>
      </c>
      <c r="G119" s="20">
        <f>IF('Résultat - projection'!$B$210=2,'Résultat - projection'!L35, IF('Résultat - projection'!$B$210=3, 'Résultat - projection'!L74, IF('Résultat - projection'!$B$210=4, 'Résultat - projection'!L113,'Clés de répartition'!P119)))</f>
        <v>18.1618326151963</v>
      </c>
      <c r="H119" s="20">
        <f>IF('Résultat - projection'!$B$210=2,'Résultat - projection'!M35, IF('Résultat - projection'!$B$210=3, 'Résultat - projection'!M74, IF('Résultat - projection'!$B$210=4, 'Résultat - projection'!M113,'Clés de répartition'!Q119)))</f>
        <v>3.5726975832789001</v>
      </c>
      <c r="I119" s="20">
        <f>IF('Résultat - projection'!$B$210=2,'Résultat - projection'!N35, IF('Résultat - projection'!$B$210=3, 'Résultat - projection'!N74, IF('Résultat - projection'!$B$210=4, 'Résultat - projection'!N113,'Clés de répartition'!R119)))</f>
        <v>1.2948395172287499</v>
      </c>
      <c r="J119" s="496">
        <f>IF('Résultat - projection'!$B$210=2,'Résultat - projection'!O35, IF('Résultat - projection'!$B$210=3, 'Résultat - projection'!O74, IF('Résultat - projection'!$B$210=4, 'Résultat - projection'!O113,'Clés de répartition'!S119)))</f>
        <v>33.998674368789899</v>
      </c>
      <c r="K119" s="20">
        <v>20.1820562457678</v>
      </c>
      <c r="L119" s="20">
        <v>60.674173197119202</v>
      </c>
      <c r="M119" s="20">
        <v>12.401933376877899</v>
      </c>
      <c r="N119" s="20">
        <v>17.924277980176299</v>
      </c>
      <c r="O119" s="20">
        <v>15.6058579068836</v>
      </c>
      <c r="P119" s="20">
        <v>18.1618326151963</v>
      </c>
      <c r="Q119" s="20">
        <v>3.5726975832789001</v>
      </c>
      <c r="R119" s="20">
        <v>1.2948395172287499</v>
      </c>
      <c r="S119" s="20">
        <v>33.998674368789899</v>
      </c>
      <c r="T119" s="20"/>
      <c r="U119" s="20"/>
      <c r="V119" s="224"/>
      <c r="W119" s="224"/>
      <c r="X119" s="224"/>
      <c r="Y119" s="224"/>
      <c r="Z119" s="224"/>
      <c r="AA119" s="224"/>
      <c r="AB119" s="224"/>
      <c r="AC119" s="224"/>
      <c r="AD119" s="224"/>
      <c r="AE119" s="224"/>
      <c r="AF119" s="224"/>
      <c r="AG119" s="224"/>
    </row>
    <row r="120" spans="1:33">
      <c r="A120" s="63" t="e" vm="26">
        <v>#VALUE!</v>
      </c>
      <c r="B120" s="20">
        <f>IF('Résultat - projection'!$B$210=2,'Résultat - projection'!G36, IF('Résultat - projection'!$B$210=3, 'Résultat - projection'!G75, IF('Résultat - projection'!$B$210=4, 'Résultat - projection'!G114,'Clés de répartition'!K120)))</f>
        <v>19.940048276417301</v>
      </c>
      <c r="C120" s="20">
        <f>IF('Résultat - projection'!$B$210=2,'Résultat - projection'!H36, IF('Résultat - projection'!$B$210=3, 'Résultat - projection'!H75, IF('Résultat - projection'!$B$210=4, 'Résultat - projection'!H114,'Clés de répartition'!L120)))</f>
        <v>30.6328930038839</v>
      </c>
      <c r="D120" s="20">
        <f>IF('Résultat - projection'!$B$210=2,'Résultat - projection'!I36, IF('Résultat - projection'!$B$210=3, 'Résultat - projection'!I75, IF('Résultat - projection'!$B$210=4, 'Résultat - projection'!I114,'Clés de répartition'!M120)))</f>
        <v>16.469775002477999</v>
      </c>
      <c r="E120" s="20">
        <f>IF('Résultat - projection'!$B$210=2,'Résultat - projection'!J36, IF('Résultat - projection'!$B$210=3, 'Résultat - projection'!J75, IF('Résultat - projection'!$B$210=4, 'Résultat - projection'!J114,'Clés de répartition'!N120)))</f>
        <v>20.2578988646985</v>
      </c>
      <c r="F120" s="20">
        <f>IF('Résultat - projection'!$B$210=2,'Résultat - projection'!K36, IF('Résultat - projection'!$B$210=3, 'Résultat - projection'!K75, IF('Résultat - projection'!$B$210=4, 'Résultat - projection'!K114,'Clés de répartition'!O120)))</f>
        <v>10.6728142913478</v>
      </c>
      <c r="G120" s="20">
        <f>IF('Résultat - projection'!$B$210=2,'Résultat - projection'!L36, IF('Résultat - projection'!$B$210=3, 'Résultat - projection'!L75, IF('Résultat - projection'!$B$210=4, 'Résultat - projection'!L114,'Clés de répartition'!P120)))</f>
        <v>6.6422429588795104</v>
      </c>
      <c r="H120" s="20">
        <f>IF('Résultat - projection'!$B$210=2,'Résultat - projection'!M36, IF('Résultat - projection'!$B$210=3, 'Résultat - projection'!M75, IF('Résultat - projection'!$B$210=4, 'Résultat - projection'!M114,'Clés de répartition'!Q120)))</f>
        <v>4.0841880124039003</v>
      </c>
      <c r="I120" s="20">
        <f>IF('Résultat - projection'!$B$210=2,'Résultat - projection'!N36, IF('Résultat - projection'!$B$210=3, 'Résultat - projection'!N75, IF('Résultat - projection'!$B$210=4, 'Résultat - projection'!N114,'Clés de répartition'!R120)))</f>
        <v>1.44742155184196</v>
      </c>
      <c r="J120" s="496">
        <f>IF('Résultat - projection'!$B$210=2,'Résultat - projection'!O36, IF('Résultat - projection'!$B$210=3, 'Résultat - projection'!O75, IF('Résultat - projection'!$B$210=4, 'Résultat - projection'!O114,'Clés de répartition'!S120)))</f>
        <v>31.1286403461493</v>
      </c>
      <c r="K120" s="20">
        <v>19.940048276417301</v>
      </c>
      <c r="L120" s="20">
        <v>30.6328930038839</v>
      </c>
      <c r="M120" s="20">
        <v>16.469775002477999</v>
      </c>
      <c r="N120" s="20">
        <v>20.2578988646985</v>
      </c>
      <c r="O120" s="20">
        <v>10.6728142913478</v>
      </c>
      <c r="P120" s="20">
        <v>6.6422429588795104</v>
      </c>
      <c r="Q120" s="20">
        <v>4.0841880124039003</v>
      </c>
      <c r="R120" s="20">
        <v>1.44742155184196</v>
      </c>
      <c r="S120" s="20">
        <v>31.1286403461493</v>
      </c>
      <c r="T120" s="20"/>
      <c r="U120" s="20"/>
      <c r="V120" s="224"/>
      <c r="W120" s="224"/>
      <c r="X120" s="224"/>
      <c r="Y120" s="224"/>
      <c r="Z120" s="224"/>
      <c r="AA120" s="224"/>
      <c r="AB120" s="224"/>
      <c r="AC120" s="224"/>
      <c r="AD120" s="224"/>
      <c r="AE120" s="224"/>
      <c r="AF120" s="224"/>
      <c r="AG120" s="224"/>
    </row>
    <row r="121" spans="1:33">
      <c r="A121" s="63" t="e" vm="27">
        <v>#VALUE!</v>
      </c>
      <c r="B121" s="20">
        <f>IF('Résultat - projection'!$B$210=2,'Résultat - projection'!G37, IF('Résultat - projection'!$B$210=3, 'Résultat - projection'!G76, IF('Résultat - projection'!$B$210=4, 'Résultat - projection'!G115,'Clés de répartition'!K121)))</f>
        <v>22.044967908657199</v>
      </c>
      <c r="C121" s="20">
        <f>IF('Résultat - projection'!$B$210=2,'Résultat - projection'!H37, IF('Résultat - projection'!$B$210=3, 'Résultat - projection'!H76, IF('Résultat - projection'!$B$210=4, 'Résultat - projection'!H115,'Clés de répartition'!L121)))</f>
        <v>51.237668831844701</v>
      </c>
      <c r="D121" s="20">
        <f>IF('Résultat - projection'!$B$210=2,'Résultat - projection'!I37, IF('Résultat - projection'!$B$210=3, 'Résultat - projection'!I76, IF('Résultat - projection'!$B$210=4, 'Résultat - projection'!I115,'Clés de répartition'!M121)))</f>
        <v>34.982327006426502</v>
      </c>
      <c r="E121" s="20">
        <f>IF('Résultat - projection'!$B$210=2,'Résultat - projection'!J37, IF('Résultat - projection'!$B$210=3, 'Résultat - projection'!J76, IF('Résultat - projection'!$B$210=4, 'Résultat - projection'!J115,'Clés de répartition'!N121)))</f>
        <v>14.017185257222501</v>
      </c>
      <c r="F121" s="20">
        <f>IF('Résultat - projection'!$B$210=2,'Résultat - projection'!K37, IF('Résultat - projection'!$B$210=3, 'Résultat - projection'!K76, IF('Résultat - projection'!$B$210=4, 'Résultat - projection'!K115,'Clés de répartition'!O121)))</f>
        <v>16.203951498692401</v>
      </c>
      <c r="G121" s="20">
        <f>IF('Résultat - projection'!$B$210=2,'Résultat - projection'!L37, IF('Résultat - projection'!$B$210=3, 'Résultat - projection'!L76, IF('Résultat - projection'!$B$210=4, 'Résultat - projection'!L115,'Clés de répartition'!P121)))</f>
        <v>14.790011153325301</v>
      </c>
      <c r="H121" s="20">
        <f>IF('Résultat - projection'!$B$210=2,'Résultat - projection'!M37, IF('Résultat - projection'!$B$210=3, 'Résultat - projection'!M76, IF('Résultat - projection'!$B$210=4, 'Résultat - projection'!M115,'Clés de répartition'!Q121)))</f>
        <v>10.088753549544199</v>
      </c>
      <c r="I121" s="20">
        <f>IF('Résultat - projection'!$B$210=2,'Résultat - projection'!N37, IF('Résultat - projection'!$B$210=3, 'Résultat - projection'!N76, IF('Résultat - projection'!$B$210=4, 'Résultat - projection'!N115,'Clés de répartition'!R121)))</f>
        <v>1.0261234050710399</v>
      </c>
      <c r="J121" s="496">
        <f>IF('Résultat - projection'!$B$210=2,'Résultat - projection'!O37, IF('Résultat - projection'!$B$210=3, 'Résultat - projection'!O76, IF('Résultat - projection'!$B$210=4, 'Résultat - projection'!O115,'Clés de répartition'!S121)))</f>
        <v>39.906750445902702</v>
      </c>
      <c r="K121" s="20">
        <v>22.044967908657199</v>
      </c>
      <c r="L121" s="20">
        <v>51.237668831844701</v>
      </c>
      <c r="M121" s="20">
        <v>34.982327006426502</v>
      </c>
      <c r="N121" s="20">
        <v>14.017185257222501</v>
      </c>
      <c r="O121" s="20">
        <v>16.203951498692401</v>
      </c>
      <c r="P121" s="20">
        <v>14.790011153325301</v>
      </c>
      <c r="Q121" s="20">
        <v>10.088753549544199</v>
      </c>
      <c r="R121" s="20">
        <v>1.0261234050710399</v>
      </c>
      <c r="S121" s="20">
        <v>39.906750445902702</v>
      </c>
      <c r="T121" s="20"/>
      <c r="U121" s="20"/>
      <c r="V121" s="224"/>
      <c r="W121" s="224"/>
      <c r="X121" s="224"/>
      <c r="Y121" s="224"/>
      <c r="Z121" s="224"/>
      <c r="AA121" s="224"/>
      <c r="AB121" s="224"/>
      <c r="AC121" s="224"/>
      <c r="AD121" s="224"/>
      <c r="AE121" s="224"/>
      <c r="AF121" s="224"/>
      <c r="AG121" s="224"/>
    </row>
    <row r="122" spans="1:33">
      <c r="A122" s="63" t="e" vm="28">
        <v>#VALUE!</v>
      </c>
      <c r="B122" s="20">
        <f>IF('Résultat - projection'!$B$210=2,'Résultat - projection'!G38, IF('Résultat - projection'!$B$210=3, 'Résultat - projection'!G77, IF('Résultat - projection'!$B$210=4, 'Résultat - projection'!G116,'Clés de répartition'!K122)))</f>
        <v>19.524723924705999</v>
      </c>
      <c r="C122" s="20">
        <f>IF('Résultat - projection'!$B$210=2,'Résultat - projection'!H38, IF('Résultat - projection'!$B$210=3, 'Résultat - projection'!H77, IF('Résultat - projection'!$B$210=4, 'Résultat - projection'!H116,'Clés de répartition'!L122)))</f>
        <v>34.461566949531999</v>
      </c>
      <c r="D122" s="20">
        <f>IF('Résultat - projection'!$B$210=2,'Résultat - projection'!I38, IF('Résultat - projection'!$B$210=3, 'Résultat - projection'!I77, IF('Résultat - projection'!$B$210=4, 'Résultat - projection'!I116,'Clés de répartition'!M122)))</f>
        <v>19.9844595034542</v>
      </c>
      <c r="E122" s="20">
        <f>IF('Résultat - projection'!$B$210=2,'Résultat - projection'!J38, IF('Résultat - projection'!$B$210=3, 'Résultat - projection'!J77, IF('Résultat - projection'!$B$210=4, 'Résultat - projection'!J116,'Clés de répartition'!N122)))</f>
        <v>16.491804247280999</v>
      </c>
      <c r="F122" s="20">
        <f>IF('Résultat - projection'!$B$210=2,'Résultat - projection'!K38, IF('Résultat - projection'!$B$210=3, 'Résultat - projection'!K77, IF('Résultat - projection'!$B$210=4, 'Résultat - projection'!K116,'Clés de répartition'!O122)))</f>
        <v>10.4575282644737</v>
      </c>
      <c r="G122" s="20">
        <f>IF('Résultat - projection'!$B$210=2,'Résultat - projection'!L38, IF('Résultat - projection'!$B$210=3, 'Résultat - projection'!L77, IF('Résultat - projection'!$B$210=4, 'Résultat - projection'!L116,'Clés de répartition'!P122)))</f>
        <v>7.6853586828372897</v>
      </c>
      <c r="H122" s="20">
        <f>IF('Résultat - projection'!$B$210=2,'Résultat - projection'!M38, IF('Résultat - projection'!$B$210=3, 'Résultat - projection'!M77, IF('Résultat - projection'!$B$210=4, 'Résultat - projection'!M116,'Clés de répartition'!Q122)))</f>
        <v>5.1994896829685997</v>
      </c>
      <c r="I122" s="20">
        <f>IF('Résultat - projection'!$B$210=2,'Résultat - projection'!N38, IF('Résultat - projection'!$B$210=3, 'Résultat - projection'!N77, IF('Résultat - projection'!$B$210=4, 'Résultat - projection'!N116,'Clés de répartition'!R122)))</f>
        <v>1.18373370081353</v>
      </c>
      <c r="J122" s="496">
        <f>IF('Résultat - projection'!$B$210=2,'Résultat - projection'!O38, IF('Résultat - projection'!$B$210=3, 'Résultat - projection'!O77, IF('Résultat - projection'!$B$210=4, 'Résultat - projection'!O116,'Clés de répartition'!S122)))</f>
        <v>33.844158686009798</v>
      </c>
      <c r="K122" s="20">
        <v>19.524723924705999</v>
      </c>
      <c r="L122" s="20">
        <v>34.461566949531999</v>
      </c>
      <c r="M122" s="20">
        <v>19.9844595034542</v>
      </c>
      <c r="N122" s="20">
        <v>16.491804247280999</v>
      </c>
      <c r="O122" s="20">
        <v>10.4575282644737</v>
      </c>
      <c r="P122" s="20">
        <v>7.6853586828372897</v>
      </c>
      <c r="Q122" s="20">
        <v>5.1994896829685997</v>
      </c>
      <c r="R122" s="20">
        <v>1.18373370081353</v>
      </c>
      <c r="S122" s="20">
        <v>33.844158686009798</v>
      </c>
      <c r="T122" s="20"/>
      <c r="U122" s="20"/>
      <c r="V122" s="224"/>
      <c r="W122" s="224"/>
      <c r="X122" s="224"/>
      <c r="Y122" s="224"/>
      <c r="Z122" s="224"/>
      <c r="AA122" s="224"/>
      <c r="AB122" s="224"/>
      <c r="AC122" s="224"/>
      <c r="AD122" s="224"/>
      <c r="AE122" s="224"/>
      <c r="AF122" s="224"/>
      <c r="AG122" s="224"/>
    </row>
    <row r="123" spans="1:33">
      <c r="A123" s="63" t="e" vm="29">
        <v>#VALUE!</v>
      </c>
      <c r="B123" s="20">
        <f>IF('Résultat - projection'!$B$210=2,'Résultat - projection'!G39, IF('Résultat - projection'!$B$210=3, 'Résultat - projection'!G78, IF('Résultat - projection'!$B$210=4, 'Résultat - projection'!G117,'Clés de répartition'!K123)))</f>
        <v>16.996067664924102</v>
      </c>
      <c r="C123" s="20">
        <f>IF('Résultat - projection'!$B$210=2,'Résultat - projection'!H39, IF('Résultat - projection'!$B$210=3, 'Résultat - projection'!H78, IF('Résultat - projection'!$B$210=4, 'Résultat - projection'!H117,'Clés de répartition'!L123)))</f>
        <v>40.983629986319599</v>
      </c>
      <c r="D123" s="20">
        <f>IF('Résultat - projection'!$B$210=2,'Résultat - projection'!I39, IF('Résultat - projection'!$B$210=3, 'Résultat - projection'!I78, IF('Résultat - projection'!$B$210=4, 'Résultat - projection'!I117,'Clés de répartition'!M123)))</f>
        <v>17.478941629629599</v>
      </c>
      <c r="E123" s="20">
        <f>IF('Résultat - projection'!$B$210=2,'Résultat - projection'!J39, IF('Résultat - projection'!$B$210=3, 'Résultat - projection'!J78, IF('Résultat - projection'!$B$210=4, 'Résultat - projection'!J117,'Clés de répartition'!N123)))</f>
        <v>16.350964428173299</v>
      </c>
      <c r="F123" s="20">
        <f>IF('Résultat - projection'!$B$210=2,'Résultat - projection'!K39, IF('Résultat - projection'!$B$210=3, 'Résultat - projection'!K78, IF('Résultat - projection'!$B$210=4, 'Résultat - projection'!K117,'Clés de répartition'!O123)))</f>
        <v>11.1848858348266</v>
      </c>
      <c r="G123" s="20">
        <f>IF('Résultat - projection'!$B$210=2,'Résultat - projection'!L39, IF('Résultat - projection'!$B$210=3, 'Résultat - projection'!L78, IF('Résultat - projection'!$B$210=4, 'Résultat - projection'!L117,'Clés de répartition'!P123)))</f>
        <v>10.6299106113447</v>
      </c>
      <c r="H123" s="20">
        <f>IF('Résultat - projection'!$B$210=2,'Résultat - projection'!M39, IF('Résultat - projection'!$B$210=3, 'Résultat - projection'!M78, IF('Résultat - projection'!$B$210=4, 'Résultat - projection'!M117,'Clés de répartition'!Q123)))</f>
        <v>4.5357997037036997</v>
      </c>
      <c r="I123" s="20">
        <f>IF('Résultat - projection'!$B$210=2,'Résultat - projection'!N39, IF('Résultat - projection'!$B$210=3, 'Résultat - projection'!N78, IF('Résultat - projection'!$B$210=4, 'Résultat - projection'!N117,'Clés de répartition'!R123)))</f>
        <v>1.1611414676793601</v>
      </c>
      <c r="J123" s="496">
        <f>IF('Résultat - projection'!$B$210=2,'Résultat - projection'!O39, IF('Résultat - projection'!$B$210=3, 'Résultat - projection'!O78, IF('Résultat - projection'!$B$210=4, 'Résultat - projection'!O117,'Clés de répartition'!S123)))</f>
        <v>28.163632533768698</v>
      </c>
      <c r="K123" s="20">
        <v>16.996067664924102</v>
      </c>
      <c r="L123" s="20">
        <v>40.983629986319599</v>
      </c>
      <c r="M123" s="20">
        <v>17.478941629629599</v>
      </c>
      <c r="N123" s="20">
        <v>16.350964428173299</v>
      </c>
      <c r="O123" s="20">
        <v>11.1848858348266</v>
      </c>
      <c r="P123" s="20">
        <v>10.6299106113447</v>
      </c>
      <c r="Q123" s="20">
        <v>4.5357997037036997</v>
      </c>
      <c r="R123" s="20">
        <v>1.1611414676793601</v>
      </c>
      <c r="S123" s="20">
        <v>28.163632533768698</v>
      </c>
      <c r="T123" s="20"/>
      <c r="U123" s="20"/>
      <c r="V123" s="224"/>
      <c r="W123" s="224"/>
      <c r="X123" s="224"/>
      <c r="Y123" s="224"/>
      <c r="Z123" s="224"/>
      <c r="AA123" s="224"/>
      <c r="AB123" s="224"/>
      <c r="AC123" s="224"/>
      <c r="AD123" s="224"/>
      <c r="AE123" s="224"/>
      <c r="AF123" s="224"/>
      <c r="AG123" s="224"/>
    </row>
    <row r="124" spans="1:33">
      <c r="A124" s="63" t="e" vm="30">
        <v>#VALUE!</v>
      </c>
      <c r="B124" s="20">
        <f>IF('Résultat - projection'!$B$210=2,'Résultat - projection'!G40, IF('Résultat - projection'!$B$210=3, 'Résultat - projection'!G79, IF('Résultat - projection'!$B$210=4, 'Résultat - projection'!G118,'Clés de répartition'!K124)))</f>
        <v>18.768736695744298</v>
      </c>
      <c r="C124" s="20">
        <f>IF('Résultat - projection'!$B$210=2,'Résultat - projection'!H40, IF('Résultat - projection'!$B$210=3, 'Résultat - projection'!H79, IF('Résultat - projection'!$B$210=4, 'Résultat - projection'!H118,'Clés de répartition'!L124)))</f>
        <v>41.107974294592097</v>
      </c>
      <c r="D124" s="20">
        <f>IF('Résultat - projection'!$B$210=2,'Résultat - projection'!I40, IF('Résultat - projection'!$B$210=3, 'Résultat - projection'!I79, IF('Résultat - projection'!$B$210=4, 'Résultat - projection'!I118,'Clés de répartition'!M124)))</f>
        <v>20.7344521849272</v>
      </c>
      <c r="E124" s="20">
        <f>IF('Résultat - projection'!$B$210=2,'Résultat - projection'!J40, IF('Résultat - projection'!$B$210=3, 'Résultat - projection'!J79, IF('Résultat - projection'!$B$210=4, 'Résultat - projection'!J118,'Clés de répartition'!N124)))</f>
        <v>13.066452500095499</v>
      </c>
      <c r="F124" s="20">
        <f>IF('Résultat - projection'!$B$210=2,'Résultat - projection'!K40, IF('Résultat - projection'!$B$210=3, 'Résultat - projection'!K79, IF('Résultat - projection'!$B$210=4, 'Résultat - projection'!K118,'Clés de répartition'!O124)))</f>
        <v>11.020978019902801</v>
      </c>
      <c r="G124" s="20">
        <f>IF('Résultat - projection'!$B$210=2,'Résultat - projection'!L40, IF('Résultat - projection'!$B$210=3, 'Résultat - projection'!L79, IF('Résultat - projection'!$B$210=4, 'Résultat - projection'!L118,'Clés de répartition'!P124)))</f>
        <v>9.1670539087158396</v>
      </c>
      <c r="H124" s="20">
        <f>IF('Résultat - projection'!$B$210=2,'Résultat - projection'!M40, IF('Résultat - projection'!$B$210=3, 'Résultat - projection'!M79, IF('Résultat - projection'!$B$210=4, 'Résultat - projection'!M118,'Clés de répartition'!Q124)))</f>
        <v>5.3021080249706003</v>
      </c>
      <c r="I124" s="20">
        <f>IF('Résultat - projection'!$B$210=2,'Résultat - projection'!N40, IF('Résultat - projection'!$B$210=3, 'Résultat - projection'!N79, IF('Résultat - projection'!$B$210=4, 'Résultat - projection'!N118,'Clés de répartition'!R124)))</f>
        <v>0.94923564689254702</v>
      </c>
      <c r="J124" s="496">
        <f>IF('Résultat - projection'!$B$210=2,'Résultat - projection'!O40, IF('Résultat - projection'!$B$210=3, 'Résultat - projection'!O79, IF('Résultat - projection'!$B$210=4, 'Résultat - projection'!O118,'Clés de répartition'!S124)))</f>
        <v>34.499081939442</v>
      </c>
      <c r="K124" s="20">
        <v>18.768736695744298</v>
      </c>
      <c r="L124" s="20">
        <v>41.107974294592097</v>
      </c>
      <c r="M124" s="20">
        <v>20.7344521849272</v>
      </c>
      <c r="N124" s="20">
        <v>13.066452500095499</v>
      </c>
      <c r="O124" s="20">
        <v>11.020978019902801</v>
      </c>
      <c r="P124" s="20">
        <v>9.1670539087158396</v>
      </c>
      <c r="Q124" s="20">
        <v>5.3021080249706003</v>
      </c>
      <c r="R124" s="20">
        <v>0.94923564689254702</v>
      </c>
      <c r="S124" s="20">
        <v>34.499081939442</v>
      </c>
      <c r="T124" s="20"/>
      <c r="U124" s="20"/>
      <c r="V124" s="224"/>
      <c r="W124" s="224"/>
      <c r="X124" s="224"/>
      <c r="Y124" s="224"/>
      <c r="Z124" s="224"/>
      <c r="AA124" s="224"/>
      <c r="AB124" s="224"/>
      <c r="AC124" s="224"/>
      <c r="AD124" s="224"/>
      <c r="AE124" s="224"/>
      <c r="AF124" s="224"/>
      <c r="AG124" s="224"/>
    </row>
    <row r="125" spans="1:33">
      <c r="A125" s="63" t="e" vm="31">
        <v>#VALUE!</v>
      </c>
      <c r="B125" s="20">
        <f>IF('Résultat - projection'!$B$210=2,'Résultat - projection'!G41, IF('Résultat - projection'!$B$210=3, 'Résultat - projection'!G80, IF('Résultat - projection'!$B$210=4, 'Résultat - projection'!G119,'Clés de répartition'!K125)))</f>
        <v>17.924003716481401</v>
      </c>
      <c r="C125" s="20">
        <f>IF('Résultat - projection'!$B$210=2,'Résultat - projection'!H41, IF('Résultat - projection'!$B$210=3, 'Résultat - projection'!H80, IF('Résultat - projection'!$B$210=4, 'Résultat - projection'!H119,'Clés de répartition'!L125)))</f>
        <v>31.752419026497101</v>
      </c>
      <c r="D125" s="20">
        <f>IF('Résultat - projection'!$B$210=2,'Résultat - projection'!I41, IF('Résultat - projection'!$B$210=3, 'Résultat - projection'!I80, IF('Résultat - projection'!$B$210=4, 'Résultat - projection'!I119,'Clés de répartition'!M125)))</f>
        <v>17.038795796799299</v>
      </c>
      <c r="E125" s="20">
        <f>IF('Résultat - projection'!$B$210=2,'Résultat - projection'!J41, IF('Résultat - projection'!$B$210=3, 'Résultat - projection'!J80, IF('Résultat - projection'!$B$210=4, 'Résultat - projection'!J119,'Clés de répartition'!N125)))</f>
        <v>17.673730259004898</v>
      </c>
      <c r="F125" s="20">
        <f>IF('Résultat - projection'!$B$210=2,'Résultat - projection'!K41, IF('Résultat - projection'!$B$210=3, 'Résultat - projection'!K80, IF('Résultat - projection'!$B$210=4, 'Résultat - projection'!K119,'Clés de répartition'!O125)))</f>
        <v>12.6878555048858</v>
      </c>
      <c r="G125" s="20">
        <f>IF('Résultat - projection'!$B$210=2,'Résultat - projection'!L41, IF('Résultat - projection'!$B$210=3, 'Résultat - projection'!L80, IF('Résultat - projection'!$B$210=4, 'Résultat - projection'!L119,'Clés de répartition'!P125)))</f>
        <v>8.0882115761286197</v>
      </c>
      <c r="H125" s="20">
        <f>IF('Résultat - projection'!$B$210=2,'Résultat - projection'!M41, IF('Résultat - projection'!$B$210=3, 'Résultat - projection'!M80, IF('Résultat - projection'!$B$210=4, 'Résultat - projection'!M119,'Clés de répartition'!Q125)))</f>
        <v>4.3868928459657397</v>
      </c>
      <c r="I125" s="20">
        <f>IF('Résultat - projection'!$B$210=2,'Résultat - projection'!N41, IF('Résultat - projection'!$B$210=3, 'Résultat - projection'!N80, IF('Résultat - projection'!$B$210=4, 'Résultat - projection'!N119,'Clés de répartition'!R125)))</f>
        <v>1.23108519379502</v>
      </c>
      <c r="J125" s="496">
        <f>IF('Résultat - projection'!$B$210=2,'Résultat - projection'!O41, IF('Résultat - projection'!$B$210=3, 'Résultat - projection'!O80, IF('Résultat - projection'!$B$210=4, 'Résultat - projection'!O119,'Clés de répartition'!S125)))</f>
        <v>29.7671927434426</v>
      </c>
      <c r="K125" s="20">
        <v>17.924003716481401</v>
      </c>
      <c r="L125" s="20">
        <v>31.752419026497101</v>
      </c>
      <c r="M125" s="20">
        <v>17.038795796799299</v>
      </c>
      <c r="N125" s="20">
        <v>17.673730259004898</v>
      </c>
      <c r="O125" s="20">
        <v>12.6878555048858</v>
      </c>
      <c r="P125" s="20">
        <v>8.0882115761286197</v>
      </c>
      <c r="Q125" s="20">
        <v>4.3868928459657397</v>
      </c>
      <c r="R125" s="20">
        <v>1.23108519379502</v>
      </c>
      <c r="S125" s="20">
        <v>29.7671927434426</v>
      </c>
      <c r="T125" s="20"/>
      <c r="U125" s="20"/>
      <c r="V125" s="224"/>
      <c r="W125" s="224"/>
      <c r="X125" s="224"/>
      <c r="Y125" s="224"/>
      <c r="Z125" s="224"/>
      <c r="AA125" s="224"/>
      <c r="AB125" s="224"/>
      <c r="AC125" s="224"/>
      <c r="AD125" s="224"/>
      <c r="AE125" s="224"/>
      <c r="AF125" s="224"/>
      <c r="AG125" s="224"/>
    </row>
    <row r="126" spans="1:33">
      <c r="A126" s="63" t="e" vm="32">
        <v>#VALUE!</v>
      </c>
      <c r="B126" s="20">
        <f>IF('Résultat - projection'!$B$210=2,'Résultat - projection'!G42, IF('Résultat - projection'!$B$210=3, 'Résultat - projection'!G81, IF('Résultat - projection'!$B$210=4, 'Résultat - projection'!G120,'Clés de répartition'!K126)))</f>
        <v>18.595481067778</v>
      </c>
      <c r="C126" s="20">
        <f>IF('Résultat - projection'!$B$210=2,'Résultat - projection'!H42, IF('Résultat - projection'!$B$210=3, 'Résultat - projection'!H81, IF('Résultat - projection'!$B$210=4, 'Résultat - projection'!H120,'Clés de répartition'!L126)))</f>
        <v>37.1325202027841</v>
      </c>
      <c r="D126" s="20">
        <f>IF('Résultat - projection'!$B$210=2,'Résultat - projection'!I42, IF('Résultat - projection'!$B$210=3, 'Résultat - projection'!I81, IF('Résultat - projection'!$B$210=4, 'Résultat - projection'!I120,'Clés de répartition'!M126)))</f>
        <v>31.4890904239038</v>
      </c>
      <c r="E126" s="20">
        <f>IF('Résultat - projection'!$B$210=2,'Résultat - projection'!J42, IF('Résultat - projection'!$B$210=3, 'Résultat - projection'!J81, IF('Résultat - projection'!$B$210=4, 'Résultat - projection'!J120,'Clés de répartition'!N126)))</f>
        <v>14.182995776660499</v>
      </c>
      <c r="F126" s="20">
        <f>IF('Résultat - projection'!$B$210=2,'Résultat - projection'!K42, IF('Résultat - projection'!$B$210=3, 'Résultat - projection'!K81, IF('Résultat - projection'!$B$210=4, 'Résultat - projection'!K120,'Clés de répartition'!O126)))</f>
        <v>13.4249034439233</v>
      </c>
      <c r="G126" s="20">
        <f>IF('Résultat - projection'!$B$210=2,'Résultat - projection'!L42, IF('Résultat - projection'!$B$210=3, 'Résultat - projection'!L81, IF('Résultat - projection'!$B$210=4, 'Résultat - projection'!L120,'Clés de répartition'!P126)))</f>
        <v>9.6845125127778804</v>
      </c>
      <c r="H126" s="20">
        <f>IF('Résultat - projection'!$B$210=2,'Résultat - projection'!M42, IF('Résultat - projection'!$B$210=3, 'Résultat - projection'!M81, IF('Résultat - projection'!$B$210=4, 'Résultat - projection'!M120,'Clés de répartition'!Q126)))</f>
        <v>8.2141800943403709</v>
      </c>
      <c r="I126" s="20">
        <f>IF('Résultat - projection'!$B$210=2,'Résultat - projection'!N42, IF('Résultat - projection'!$B$210=3, 'Résultat - projection'!N81, IF('Résultat - projection'!$B$210=4, 'Résultat - projection'!N120,'Clés de répartition'!R126)))</f>
        <v>1.02748623836537</v>
      </c>
      <c r="J126" s="496">
        <f>IF('Résultat - projection'!$B$210=2,'Résultat - projection'!O42, IF('Résultat - projection'!$B$210=3, 'Résultat - projection'!O81, IF('Résultat - projection'!$B$210=4, 'Résultat - projection'!O120,'Clés de répartition'!S126)))</f>
        <v>31.390956236580699</v>
      </c>
      <c r="K126" s="20">
        <v>18.595481067778</v>
      </c>
      <c r="L126" s="20">
        <v>37.1325202027841</v>
      </c>
      <c r="M126" s="20">
        <v>31.4890904239038</v>
      </c>
      <c r="N126" s="20">
        <v>14.182995776660499</v>
      </c>
      <c r="O126" s="20">
        <v>13.4249034439233</v>
      </c>
      <c r="P126" s="20">
        <v>9.6845125127778804</v>
      </c>
      <c r="Q126" s="20">
        <v>8.2141800943403709</v>
      </c>
      <c r="R126" s="20">
        <v>1.02748623836537</v>
      </c>
      <c r="S126" s="20">
        <v>31.390956236580699</v>
      </c>
      <c r="T126" s="20"/>
      <c r="U126" s="20"/>
      <c r="V126" s="224"/>
      <c r="W126" s="224"/>
      <c r="X126" s="224"/>
      <c r="Y126" s="224"/>
      <c r="Z126" s="224"/>
      <c r="AA126" s="224"/>
      <c r="AB126" s="224"/>
      <c r="AC126" s="224"/>
      <c r="AD126" s="224"/>
      <c r="AE126" s="224"/>
      <c r="AF126" s="224"/>
      <c r="AG126" s="224"/>
    </row>
    <row r="127" spans="1:33">
      <c r="A127" s="63" t="e" vm="33">
        <v>#VALUE!</v>
      </c>
      <c r="B127" s="20">
        <f>IF('Résultat - projection'!$B$210=2,'Résultat - projection'!G43, IF('Résultat - projection'!$B$210=3, 'Résultat - projection'!G82, IF('Résultat - projection'!$B$210=4, 'Résultat - projection'!G121,'Clés de répartition'!K127)))</f>
        <v>18.026982985789001</v>
      </c>
      <c r="C127" s="20">
        <f>IF('Résultat - projection'!$B$210=2,'Résultat - projection'!H43, IF('Résultat - projection'!$B$210=3, 'Résultat - projection'!H82, IF('Résultat - projection'!$B$210=4, 'Résultat - projection'!H121,'Clés de répartition'!L127)))</f>
        <v>28.2227941415529</v>
      </c>
      <c r="D127" s="20">
        <f>IF('Résultat - projection'!$B$210=2,'Résultat - projection'!I43, IF('Résultat - projection'!$B$210=3, 'Résultat - projection'!I82, IF('Résultat - projection'!$B$210=4, 'Résultat - projection'!I121,'Clés de répartition'!M127)))</f>
        <v>16.569234359931901</v>
      </c>
      <c r="E127" s="20">
        <f>IF('Résultat - projection'!$B$210=2,'Résultat - projection'!J43, IF('Résultat - projection'!$B$210=3, 'Résultat - projection'!J82, IF('Résultat - projection'!$B$210=4, 'Résultat - projection'!J121,'Clés de répartition'!N127)))</f>
        <v>15.983360091648199</v>
      </c>
      <c r="F127" s="20">
        <f>IF('Résultat - projection'!$B$210=2,'Résultat - projection'!K43, IF('Résultat - projection'!$B$210=3, 'Résultat - projection'!K82, IF('Résultat - projection'!$B$210=4, 'Résultat - projection'!K121,'Clés de répartition'!O127)))</f>
        <v>11.010756646278701</v>
      </c>
      <c r="G127" s="20">
        <f>IF('Résultat - projection'!$B$210=2,'Résultat - projection'!L43, IF('Résultat - projection'!$B$210=3, 'Résultat - projection'!L82, IF('Résultat - projection'!$B$210=4, 'Résultat - projection'!L121,'Clés de répartition'!P127)))</f>
        <v>6.5982079647689904</v>
      </c>
      <c r="H127" s="20">
        <f>IF('Résultat - projection'!$B$210=2,'Résultat - projection'!M43, IF('Résultat - projection'!$B$210=3, 'Résultat - projection'!M82, IF('Résultat - projection'!$B$210=4, 'Résultat - projection'!M121,'Clés de répartition'!Q127)))</f>
        <v>3.94081575599647</v>
      </c>
      <c r="I127" s="20">
        <f>IF('Résultat - projection'!$B$210=2,'Résultat - projection'!N43, IF('Résultat - projection'!$B$210=3, 'Résultat - projection'!N82, IF('Résultat - projection'!$B$210=4, 'Résultat - projection'!N121,'Clés de répartition'!R127)))</f>
        <v>1.1225284715957899</v>
      </c>
      <c r="J127" s="496">
        <f>IF('Résultat - projection'!$B$210=2,'Résultat - projection'!O43, IF('Résultat - projection'!$B$210=3, 'Résultat - projection'!O82, IF('Résultat - projection'!$B$210=4, 'Résultat - projection'!O121,'Clés de répartition'!S127)))</f>
        <v>28.934689051582499</v>
      </c>
      <c r="K127" s="20">
        <v>18.026982985789001</v>
      </c>
      <c r="L127" s="20">
        <v>28.2227941415529</v>
      </c>
      <c r="M127" s="20">
        <v>16.569234359931901</v>
      </c>
      <c r="N127" s="20">
        <v>15.983360091648199</v>
      </c>
      <c r="O127" s="20">
        <v>11.010756646278701</v>
      </c>
      <c r="P127" s="20">
        <v>6.5982079647689904</v>
      </c>
      <c r="Q127" s="20">
        <v>3.94081575599647</v>
      </c>
      <c r="R127" s="20">
        <v>1.1225284715957899</v>
      </c>
      <c r="S127" s="20">
        <v>28.934689051582499</v>
      </c>
      <c r="T127" s="20"/>
      <c r="U127" s="20"/>
      <c r="V127" s="224"/>
      <c r="W127" s="224"/>
      <c r="X127" s="224"/>
      <c r="Y127" s="224"/>
      <c r="Z127" s="224"/>
      <c r="AA127" s="224"/>
      <c r="AB127" s="224"/>
      <c r="AC127" s="224"/>
      <c r="AD127" s="224"/>
      <c r="AE127" s="224"/>
      <c r="AF127" s="224"/>
      <c r="AG127" s="224"/>
    </row>
    <row r="128" spans="1:33">
      <c r="A128" s="63" t="e" vm="34">
        <v>#VALUE!</v>
      </c>
      <c r="B128" s="20">
        <f>IF('Résultat - projection'!$B$210=2,'Résultat - projection'!G44, IF('Résultat - projection'!$B$210=3, 'Résultat - projection'!G83, IF('Résultat - projection'!$B$210=4, 'Résultat - projection'!G122,'Clés de répartition'!K128)))</f>
        <v>18.5653457983076</v>
      </c>
      <c r="C128" s="20">
        <f>IF('Résultat - projection'!$B$210=2,'Résultat - projection'!H44, IF('Résultat - projection'!$B$210=3, 'Résultat - projection'!H83, IF('Résultat - projection'!$B$210=4, 'Résultat - projection'!H122,'Clés de répartition'!L128)))</f>
        <v>34.786895212717603</v>
      </c>
      <c r="D128" s="20">
        <f>IF('Résultat - projection'!$B$210=2,'Résultat - projection'!I44, IF('Résultat - projection'!$B$210=3, 'Résultat - projection'!I83, IF('Résultat - projection'!$B$210=4, 'Résultat - projection'!I122,'Clés de répartition'!M128)))</f>
        <v>20.588503850777901</v>
      </c>
      <c r="E128" s="20">
        <f>IF('Résultat - projection'!$B$210=2,'Résultat - projection'!J44, IF('Résultat - projection'!$B$210=3, 'Résultat - projection'!J83, IF('Résultat - projection'!$B$210=4, 'Résultat - projection'!J122,'Clés de répartition'!N128)))</f>
        <v>12.614465281244801</v>
      </c>
      <c r="F128" s="20">
        <f>IF('Résultat - projection'!$B$210=2,'Résultat - projection'!K44, IF('Résultat - projection'!$B$210=3, 'Résultat - projection'!K83, IF('Résultat - projection'!$B$210=4, 'Résultat - projection'!K122,'Clés de répartition'!O128)))</f>
        <v>11.334709183819699</v>
      </c>
      <c r="G128" s="20">
        <f>IF('Résultat - projection'!$B$210=2,'Résultat - projection'!L44, IF('Résultat - projection'!$B$210=3, 'Résultat - projection'!L83, IF('Résultat - projection'!$B$210=4, 'Résultat - projection'!L122,'Clés de répartition'!P128)))</f>
        <v>8.3914980727162902</v>
      </c>
      <c r="H128" s="20">
        <f>IF('Résultat - projection'!$B$210=2,'Résultat - projection'!M44, IF('Résultat - projection'!$B$210=3, 'Résultat - projection'!M83, IF('Résultat - projection'!$B$210=4, 'Résultat - projection'!M122,'Clés de répartition'!Q128)))</f>
        <v>5.3678996298015704</v>
      </c>
      <c r="I128" s="20">
        <f>IF('Résultat - projection'!$B$210=2,'Résultat - projection'!N44, IF('Résultat - projection'!$B$210=3, 'Résultat - projection'!N83, IF('Résultat - projection'!$B$210=4, 'Résultat - projection'!N122,'Clés de répartition'!R128)))</f>
        <v>0.90762730903644395</v>
      </c>
      <c r="J128" s="496">
        <f>IF('Résultat - projection'!$B$210=2,'Résultat - projection'!O44, IF('Résultat - projection'!$B$210=3, 'Résultat - projection'!O83, IF('Résultat - projection'!$B$210=4, 'Résultat - projection'!O122,'Clés de répartition'!S128)))</f>
        <v>31.350530414775399</v>
      </c>
      <c r="K128" s="20">
        <v>18.5653457983076</v>
      </c>
      <c r="L128" s="20">
        <v>34.786895212717603</v>
      </c>
      <c r="M128" s="20">
        <v>20.588503850777901</v>
      </c>
      <c r="N128" s="20">
        <v>12.614465281244801</v>
      </c>
      <c r="O128" s="20">
        <v>11.334709183819699</v>
      </c>
      <c r="P128" s="20">
        <v>8.3914980727162902</v>
      </c>
      <c r="Q128" s="20">
        <v>5.3678996298015704</v>
      </c>
      <c r="R128" s="20">
        <v>0.90762730903644395</v>
      </c>
      <c r="S128" s="20">
        <v>31.350530414775399</v>
      </c>
      <c r="T128" s="20"/>
      <c r="U128" s="20"/>
      <c r="V128" s="224"/>
      <c r="W128" s="224"/>
      <c r="X128" s="224"/>
      <c r="Y128" s="224"/>
      <c r="Z128" s="224"/>
      <c r="AA128" s="224"/>
      <c r="AB128" s="224"/>
      <c r="AC128" s="224"/>
      <c r="AD128" s="224"/>
      <c r="AE128" s="224"/>
      <c r="AF128" s="224"/>
      <c r="AG128" s="224"/>
    </row>
    <row r="129" spans="1:33">
      <c r="A129" s="45"/>
      <c r="U129" s="20"/>
      <c r="V129" s="224"/>
      <c r="W129" s="224"/>
      <c r="X129" s="224"/>
      <c r="Y129" s="224"/>
      <c r="Z129" s="224"/>
      <c r="AA129" s="224"/>
      <c r="AB129" s="224"/>
      <c r="AC129" s="224"/>
      <c r="AD129" s="224"/>
      <c r="AE129" s="224"/>
      <c r="AF129" s="224"/>
      <c r="AG129" s="224"/>
    </row>
    <row r="130" spans="1:33">
      <c r="A130" s="389" t="s">
        <v>690</v>
      </c>
      <c r="V130" s="224"/>
      <c r="W130" s="224"/>
      <c r="X130" s="224"/>
      <c r="Y130" s="224"/>
      <c r="Z130" s="224"/>
      <c r="AA130" s="224"/>
      <c r="AB130" s="224"/>
      <c r="AC130" s="224"/>
      <c r="AD130" s="224"/>
      <c r="AE130" s="224"/>
      <c r="AF130" s="224"/>
      <c r="AG130" s="224"/>
    </row>
    <row r="131" spans="1:33">
      <c r="A131" s="389" t="s">
        <v>691</v>
      </c>
      <c r="H131" s="53"/>
      <c r="I131" s="53"/>
      <c r="J131" s="53"/>
      <c r="V131" s="224"/>
      <c r="W131" s="224"/>
      <c r="X131" s="224"/>
      <c r="Y131" s="224"/>
      <c r="Z131" s="224"/>
      <c r="AA131" s="224"/>
      <c r="AB131" s="224"/>
      <c r="AC131" s="224"/>
      <c r="AD131" s="224"/>
      <c r="AE131" s="224"/>
      <c r="AF131" s="224"/>
      <c r="AG131" s="224"/>
    </row>
    <row r="132" spans="1:33">
      <c r="D132" s="77"/>
      <c r="V132" s="224"/>
      <c r="W132" s="224"/>
      <c r="X132" s="224"/>
      <c r="Y132" s="224"/>
      <c r="Z132" s="224"/>
      <c r="AA132" s="224"/>
      <c r="AB132" s="224"/>
      <c r="AC132" s="224"/>
      <c r="AD132" s="224"/>
      <c r="AE132" s="224"/>
      <c r="AF132" s="224"/>
      <c r="AG132" s="224"/>
    </row>
    <row r="133" spans="1:33" ht="51">
      <c r="A133" s="341" t="s">
        <v>87</v>
      </c>
      <c r="B133" s="138" t="s">
        <v>889</v>
      </c>
      <c r="C133" s="138" t="s">
        <v>627</v>
      </c>
      <c r="D133" s="138" t="s">
        <v>890</v>
      </c>
      <c r="E133" s="138" t="s">
        <v>90</v>
      </c>
      <c r="F133" s="138" t="s">
        <v>628</v>
      </c>
      <c r="G133" s="138" t="s">
        <v>346</v>
      </c>
      <c r="H133" s="138" t="s">
        <v>327</v>
      </c>
      <c r="I133" s="138" t="s">
        <v>328</v>
      </c>
      <c r="J133" s="342" t="s">
        <v>582</v>
      </c>
      <c r="K133" s="138" t="s">
        <v>583</v>
      </c>
      <c r="L133" s="138" t="s">
        <v>325</v>
      </c>
      <c r="V133" s="224"/>
      <c r="W133" s="224"/>
      <c r="X133" s="224"/>
      <c r="Y133" s="224"/>
      <c r="Z133" s="224"/>
      <c r="AA133" s="224"/>
      <c r="AB133" s="224"/>
      <c r="AC133" s="224"/>
      <c r="AD133" s="224"/>
      <c r="AE133" s="224"/>
      <c r="AF133" s="224"/>
      <c r="AG133" s="224"/>
    </row>
    <row r="134" spans="1:33" ht="17">
      <c r="A134" s="298" t="s">
        <v>202</v>
      </c>
      <c r="B134" s="21">
        <f>SUM(B135:B149)</f>
        <v>2147390</v>
      </c>
      <c r="C134" s="16">
        <f>0.229+0.207+0.19</f>
        <v>0.626</v>
      </c>
      <c r="D134" s="21">
        <f>B134*C134</f>
        <v>1344266.14</v>
      </c>
      <c r="E134" s="20">
        <f>SUM(E135:E149)</f>
        <v>498.61</v>
      </c>
      <c r="F134" s="20">
        <f>(1939019)/869946</f>
        <v>2.2288958165219452</v>
      </c>
      <c r="G134" s="20">
        <f>F134*C134</f>
        <v>1.3952887811427377</v>
      </c>
      <c r="H134">
        <v>1.01</v>
      </c>
      <c r="I134" s="20">
        <f>H134/G134</f>
        <v>0.72386448859196928</v>
      </c>
      <c r="J134" s="296">
        <v>52519</v>
      </c>
      <c r="K134" s="297">
        <f t="shared" ref="K134:K149" si="37">J134/G134*$B$172</f>
        <v>46602.377069745882</v>
      </c>
      <c r="L134" s="53">
        <f>K134/(250*7)</f>
        <v>26.629929754140505</v>
      </c>
    </row>
    <row r="135" spans="1:33">
      <c r="A135" s="347" t="e" vm="1">
        <v>#VALUE!</v>
      </c>
      <c r="B135" s="21">
        <v>3710</v>
      </c>
      <c r="C135" s="16">
        <f>0.101+0.172+0.244</f>
        <v>0.51700000000000002</v>
      </c>
      <c r="D135" s="21">
        <f t="shared" ref="D135:D149" si="38">B135*C135</f>
        <v>1918.0700000000002</v>
      </c>
      <c r="E135" s="20">
        <v>6.03</v>
      </c>
      <c r="F135" s="224">
        <v>2.86</v>
      </c>
      <c r="G135" s="20">
        <f t="shared" ref="G135:G169" si="39">F135*C135</f>
        <v>1.47862</v>
      </c>
      <c r="H135">
        <v>1.88</v>
      </c>
      <c r="I135" s="20">
        <f t="shared" ref="I135:I169" si="40">H135/G135</f>
        <v>1.2714558169103622</v>
      </c>
      <c r="J135" s="53">
        <v>118784</v>
      </c>
      <c r="K135" s="297">
        <f t="shared" si="37"/>
        <v>99461.978331146616</v>
      </c>
      <c r="L135" s="53">
        <f t="shared" ref="L135:L169" si="41">K135/(250*7)</f>
        <v>56.835416189226635</v>
      </c>
    </row>
    <row r="136" spans="1:33">
      <c r="A136" s="347" t="e" vm="2">
        <v>#VALUE!</v>
      </c>
      <c r="B136" s="21">
        <v>19290</v>
      </c>
      <c r="C136" s="16">
        <f>0.13+0.191+0.236</f>
        <v>0.55699999999999994</v>
      </c>
      <c r="D136" s="21">
        <f t="shared" si="38"/>
        <v>10744.529999999999</v>
      </c>
      <c r="E136" s="20">
        <v>11</v>
      </c>
      <c r="F136" s="224">
        <v>2.9</v>
      </c>
      <c r="G136" s="20">
        <f t="shared" si="39"/>
        <v>1.6152999999999997</v>
      </c>
      <c r="H136">
        <v>1.88</v>
      </c>
      <c r="I136" s="20">
        <f t="shared" si="40"/>
        <v>1.1638704884541573</v>
      </c>
      <c r="J136" s="53">
        <v>123392</v>
      </c>
      <c r="K136" s="297">
        <f t="shared" si="37"/>
        <v>94577.871107534214</v>
      </c>
      <c r="L136" s="53">
        <f t="shared" si="41"/>
        <v>54.044497775733838</v>
      </c>
    </row>
    <row r="137" spans="1:33">
      <c r="A137" s="347" t="e" vm="3">
        <v>#VALUE!</v>
      </c>
      <c r="B137" s="21">
        <v>37833</v>
      </c>
      <c r="C137" s="16">
        <f>0.144+0.178+0.16</f>
        <v>0.48199999999999998</v>
      </c>
      <c r="D137" s="21">
        <f t="shared" si="38"/>
        <v>18235.505999999998</v>
      </c>
      <c r="E137" s="20">
        <v>6.81</v>
      </c>
      <c r="F137" s="224">
        <v>2.41</v>
      </c>
      <c r="G137" s="20">
        <f t="shared" si="39"/>
        <v>1.1616200000000001</v>
      </c>
      <c r="H137">
        <v>1.25</v>
      </c>
      <c r="I137" s="20">
        <f t="shared" si="40"/>
        <v>1.076083400767893</v>
      </c>
      <c r="J137" s="53">
        <v>58935</v>
      </c>
      <c r="K137" s="297">
        <f t="shared" si="37"/>
        <v>62815.226580120856</v>
      </c>
      <c r="L137" s="53">
        <f t="shared" si="41"/>
        <v>35.894415188640487</v>
      </c>
    </row>
    <row r="138" spans="1:33">
      <c r="A138" s="347" t="e" vm="4">
        <v>#VALUE!</v>
      </c>
      <c r="B138" s="21">
        <v>50171</v>
      </c>
      <c r="C138" s="16">
        <f>0.173+0.184+0.221</f>
        <v>0.57799999999999996</v>
      </c>
      <c r="D138" s="21">
        <f t="shared" si="38"/>
        <v>28998.837999999996</v>
      </c>
      <c r="E138" s="20">
        <v>14.99</v>
      </c>
      <c r="F138" s="224">
        <v>2.84</v>
      </c>
      <c r="G138" s="20">
        <f t="shared" si="39"/>
        <v>1.6415199999999999</v>
      </c>
      <c r="H138">
        <v>1.73</v>
      </c>
      <c r="I138" s="20">
        <f t="shared" si="40"/>
        <v>1.0539012622447488</v>
      </c>
      <c r="J138" s="296">
        <v>78981</v>
      </c>
      <c r="K138" s="297">
        <f t="shared" si="37"/>
        <v>59570.627284468057</v>
      </c>
      <c r="L138" s="53">
        <f t="shared" si="41"/>
        <v>34.040358448267462</v>
      </c>
    </row>
    <row r="139" spans="1:33">
      <c r="A139" s="347" t="e" vm="5">
        <v>#VALUE!</v>
      </c>
      <c r="B139" s="21">
        <f>20382+9</f>
        <v>20391</v>
      </c>
      <c r="C139" s="16">
        <f>0.193+0.194+0.23</f>
        <v>0.61699999999999999</v>
      </c>
      <c r="D139" s="21">
        <f t="shared" si="38"/>
        <v>12581.246999999999</v>
      </c>
      <c r="E139" s="20">
        <f>20.83+0.19</f>
        <v>21.02</v>
      </c>
      <c r="F139" s="224">
        <v>2.27</v>
      </c>
      <c r="G139" s="20">
        <f t="shared" si="39"/>
        <v>1.40059</v>
      </c>
      <c r="H139">
        <v>1.41</v>
      </c>
      <c r="I139" s="20">
        <f t="shared" si="40"/>
        <v>1.0067185971626242</v>
      </c>
      <c r="J139" s="53">
        <v>64689</v>
      </c>
      <c r="K139" s="297">
        <f t="shared" si="37"/>
        <v>57184.080209054759</v>
      </c>
      <c r="L139" s="53">
        <f t="shared" si="41"/>
        <v>32.676617262317002</v>
      </c>
    </row>
    <row r="140" spans="1:33">
      <c r="A140" s="347" t="e" vm="6">
        <v>#VALUE!</v>
      </c>
      <c r="B140" s="21">
        <v>7469</v>
      </c>
      <c r="C140" s="16">
        <f>(0.174+0.173+0.203)</f>
        <v>0.55000000000000004</v>
      </c>
      <c r="D140" s="21">
        <f t="shared" si="38"/>
        <v>4107.9500000000007</v>
      </c>
      <c r="E140" s="20">
        <v>1.77</v>
      </c>
      <c r="F140" s="287">
        <f>6990/2470</f>
        <v>2.8299595141700404</v>
      </c>
      <c r="G140" s="20">
        <f t="shared" si="39"/>
        <v>1.5564777327935224</v>
      </c>
      <c r="H140">
        <v>1.78</v>
      </c>
      <c r="I140" s="20">
        <f t="shared" si="40"/>
        <v>1.1436077513330731</v>
      </c>
      <c r="J140" s="296">
        <v>122496</v>
      </c>
      <c r="K140" s="297">
        <f t="shared" si="37"/>
        <v>97439.42647210299</v>
      </c>
      <c r="L140" s="53">
        <f t="shared" si="41"/>
        <v>55.679672269773135</v>
      </c>
    </row>
    <row r="141" spans="1:33">
      <c r="A141" s="347" t="e" vm="7">
        <v>#VALUE!</v>
      </c>
      <c r="B141" s="21">
        <v>19564</v>
      </c>
      <c r="C141" s="16">
        <f>0.157+0.179+0.267</f>
        <v>0.60299999999999998</v>
      </c>
      <c r="D141" s="21">
        <f t="shared" si="38"/>
        <v>11797.091999999999</v>
      </c>
      <c r="E141" s="20">
        <v>9.6199999999999992</v>
      </c>
      <c r="F141" s="224">
        <v>3</v>
      </c>
      <c r="G141" s="20">
        <f t="shared" si="39"/>
        <v>1.8089999999999999</v>
      </c>
      <c r="H141">
        <v>2.08</v>
      </c>
      <c r="I141" s="20">
        <f t="shared" si="40"/>
        <v>1.1498065229408514</v>
      </c>
      <c r="J141" s="53">
        <v>115381</v>
      </c>
      <c r="K141" s="297">
        <f t="shared" si="37"/>
        <v>78968.057545605305</v>
      </c>
      <c r="L141" s="53">
        <f t="shared" si="41"/>
        <v>45.124604311774462</v>
      </c>
    </row>
    <row r="142" spans="1:33">
      <c r="A142" s="347" t="e" vm="8">
        <v>#VALUE!</v>
      </c>
      <c r="B142" s="21">
        <f>SUM(B151:B169)</f>
        <v>1895211</v>
      </c>
      <c r="C142" s="16" cm="1">
        <f t="array" ref="C142">SUM(B151:B169*C151:C169)/B142</f>
        <v>0.63562699351154039</v>
      </c>
      <c r="D142" s="21">
        <f t="shared" si="38"/>
        <v>1204647.27</v>
      </c>
      <c r="E142" s="20">
        <f>SUM(E151:E169)</f>
        <v>365.5</v>
      </c>
      <c r="F142" s="287">
        <f>(1939019)/869946</f>
        <v>2.2288958165219452</v>
      </c>
      <c r="G142" s="20">
        <f t="shared" si="39"/>
        <v>1.416746346706294</v>
      </c>
      <c r="H142">
        <v>1.01</v>
      </c>
      <c r="I142" s="20">
        <f t="shared" si="40"/>
        <v>0.71290107953910498</v>
      </c>
      <c r="J142" s="53">
        <v>50227</v>
      </c>
      <c r="K142" s="297">
        <f t="shared" si="37"/>
        <v>43893.565594555788</v>
      </c>
      <c r="L142" s="53">
        <f t="shared" si="41"/>
        <v>25.082037482603308</v>
      </c>
    </row>
    <row r="143" spans="1:33">
      <c r="A143" s="347" t="e" vm="9">
        <v>#VALUE!</v>
      </c>
      <c r="B143" s="21">
        <v>4808</v>
      </c>
      <c r="C143" s="16">
        <f>0.232+0.2+0.226</f>
        <v>0.65800000000000003</v>
      </c>
      <c r="D143" s="21">
        <f t="shared" si="38"/>
        <v>3163.6640000000002</v>
      </c>
      <c r="E143" s="20">
        <v>12.22</v>
      </c>
      <c r="F143" s="224">
        <v>2.2200000000000002</v>
      </c>
      <c r="G143" s="20">
        <f t="shared" si="39"/>
        <v>1.4607600000000003</v>
      </c>
      <c r="H143">
        <v>1.32</v>
      </c>
      <c r="I143" s="20">
        <f t="shared" si="40"/>
        <v>0.90363920151154176</v>
      </c>
      <c r="J143" s="53">
        <v>50318</v>
      </c>
      <c r="K143" s="297">
        <f t="shared" si="37"/>
        <v>42648.152879323083</v>
      </c>
      <c r="L143" s="53">
        <f t="shared" si="41"/>
        <v>24.370373073898904</v>
      </c>
    </row>
    <row r="144" spans="1:33">
      <c r="A144" s="347" t="e" vm="10">
        <v>#VALUE!</v>
      </c>
      <c r="B144" s="21">
        <v>5250</v>
      </c>
      <c r="C144" s="16">
        <f>0.145+0.19+0.236</f>
        <v>0.57099999999999995</v>
      </c>
      <c r="D144" s="21">
        <f t="shared" si="38"/>
        <v>2997.7499999999995</v>
      </c>
      <c r="E144" s="20">
        <v>1.42</v>
      </c>
      <c r="F144" s="224">
        <v>2.72</v>
      </c>
      <c r="G144" s="20">
        <f t="shared" si="39"/>
        <v>1.5531200000000001</v>
      </c>
      <c r="H144">
        <v>1.57</v>
      </c>
      <c r="I144" s="20">
        <f t="shared" si="40"/>
        <v>1.0108684454517358</v>
      </c>
      <c r="J144" s="53">
        <v>115029</v>
      </c>
      <c r="K144" s="297">
        <f t="shared" si="37"/>
        <v>91697.618278046764</v>
      </c>
      <c r="L144" s="53">
        <f t="shared" si="41"/>
        <v>52.398639016026721</v>
      </c>
      <c r="N144" s="77"/>
    </row>
    <row r="145" spans="1:37">
      <c r="A145" s="347" t="e" vm="11">
        <v>#VALUE!</v>
      </c>
      <c r="B145" s="21">
        <v>21775</v>
      </c>
      <c r="C145" s="16">
        <f>0.146+0.201+0.193</f>
        <v>0.54</v>
      </c>
      <c r="D145" s="21">
        <f t="shared" si="38"/>
        <v>11758.5</v>
      </c>
      <c r="E145" s="20">
        <v>7.46</v>
      </c>
      <c r="F145" s="224">
        <v>2.75</v>
      </c>
      <c r="G145" s="20">
        <f t="shared" si="39"/>
        <v>1.4850000000000001</v>
      </c>
      <c r="H145">
        <v>1.62</v>
      </c>
      <c r="I145" s="20">
        <f t="shared" si="40"/>
        <v>1.0909090909090908</v>
      </c>
      <c r="J145" s="53">
        <v>109540</v>
      </c>
      <c r="K145" s="297">
        <f t="shared" si="37"/>
        <v>91327.591919191909</v>
      </c>
      <c r="L145" s="53">
        <f t="shared" si="41"/>
        <v>52.18719538239538</v>
      </c>
    </row>
    <row r="146" spans="1:37">
      <c r="A146" s="347" t="e" vm="12">
        <v>#VALUE!</v>
      </c>
      <c r="B146" s="21">
        <v>35429</v>
      </c>
      <c r="C146" s="16">
        <f>0.145+0.176+0.227</f>
        <v>0.54799999999999993</v>
      </c>
      <c r="D146" s="21">
        <f t="shared" si="38"/>
        <v>19415.091999999997</v>
      </c>
      <c r="E146" s="20">
        <v>18.940000000000001</v>
      </c>
      <c r="F146" s="224">
        <v>2.5299999999999998</v>
      </c>
      <c r="G146" s="20">
        <f t="shared" si="39"/>
        <v>1.3864399999999997</v>
      </c>
      <c r="H146">
        <v>1.57</v>
      </c>
      <c r="I146" s="20">
        <f t="shared" si="40"/>
        <v>1.1323966417587494</v>
      </c>
      <c r="J146" s="53">
        <v>80242</v>
      </c>
      <c r="K146" s="297">
        <f t="shared" si="37"/>
        <v>71656.631516690235</v>
      </c>
      <c r="L146" s="53">
        <f t="shared" si="41"/>
        <v>40.946646580965847</v>
      </c>
      <c r="AH146" s="380"/>
    </row>
    <row r="147" spans="1:37">
      <c r="A147" s="347" t="e" vm="13">
        <v>#VALUE!</v>
      </c>
      <c r="B147" s="21">
        <v>5380</v>
      </c>
      <c r="C147" s="16">
        <f>0.185+0.185+0.231</f>
        <v>0.60099999999999998</v>
      </c>
      <c r="D147" s="21">
        <f t="shared" si="38"/>
        <v>3233.38</v>
      </c>
      <c r="E147" s="20">
        <v>10.57</v>
      </c>
      <c r="F147" s="224">
        <v>2.57</v>
      </c>
      <c r="G147" s="20">
        <f t="shared" si="39"/>
        <v>1.5445699999999998</v>
      </c>
      <c r="H147">
        <v>1.65</v>
      </c>
      <c r="I147" s="20">
        <f t="shared" si="40"/>
        <v>1.0682584797063261</v>
      </c>
      <c r="J147" s="53">
        <v>67200</v>
      </c>
      <c r="K147" s="297">
        <f t="shared" si="37"/>
        <v>53866.331729866572</v>
      </c>
      <c r="L147" s="53">
        <f t="shared" si="41"/>
        <v>30.780760988495185</v>
      </c>
      <c r="AH147" s="381"/>
      <c r="AI147" s="53"/>
      <c r="AJ147" s="53"/>
      <c r="AK147" s="53"/>
    </row>
    <row r="148" spans="1:37">
      <c r="A148" s="347" t="e" vm="14">
        <v>#VALUE!</v>
      </c>
      <c r="B148" s="21">
        <v>1016</v>
      </c>
      <c r="C148" s="16">
        <f>0.185+0.185+0.231</f>
        <v>0.60099999999999998</v>
      </c>
      <c r="D148" s="21">
        <f t="shared" si="38"/>
        <v>610.61599999999999</v>
      </c>
      <c r="E148" s="20">
        <v>7.24</v>
      </c>
      <c r="F148" s="224">
        <v>2.57</v>
      </c>
      <c r="G148" s="20">
        <f t="shared" si="39"/>
        <v>1.5445699999999998</v>
      </c>
      <c r="H148">
        <v>1.65</v>
      </c>
      <c r="I148" s="20">
        <f t="shared" si="40"/>
        <v>1.0682584797063261</v>
      </c>
      <c r="J148" s="53">
        <v>116224</v>
      </c>
      <c r="K148" s="297">
        <f t="shared" si="37"/>
        <v>93163.103258512085</v>
      </c>
      <c r="L148" s="53">
        <f t="shared" si="41"/>
        <v>53.236059004864046</v>
      </c>
      <c r="V148" s="53"/>
      <c r="W148" s="21"/>
      <c r="X148" s="16"/>
      <c r="Z148" s="54"/>
      <c r="AA148" s="54"/>
      <c r="AH148" s="381"/>
      <c r="AI148" s="53"/>
      <c r="AJ148" s="53"/>
      <c r="AK148" s="53"/>
    </row>
    <row r="149" spans="1:37">
      <c r="A149" s="347" t="e" vm="15">
        <v>#VALUE!</v>
      </c>
      <c r="B149" s="21">
        <v>20093</v>
      </c>
      <c r="C149" s="16">
        <f>0.16+0.164+0.201</f>
        <v>0.52500000000000002</v>
      </c>
      <c r="D149" s="21">
        <f t="shared" si="38"/>
        <v>10548.825000000001</v>
      </c>
      <c r="E149" s="20">
        <v>4.0199999999999996</v>
      </c>
      <c r="F149" s="224">
        <v>2.34</v>
      </c>
      <c r="G149" s="20">
        <f t="shared" si="39"/>
        <v>1.2284999999999999</v>
      </c>
      <c r="H149">
        <v>1.21</v>
      </c>
      <c r="I149" s="20">
        <f t="shared" si="40"/>
        <v>0.98494098494098492</v>
      </c>
      <c r="J149" s="53">
        <v>100153</v>
      </c>
      <c r="K149" s="297">
        <f t="shared" si="37"/>
        <v>100935.63638583639</v>
      </c>
      <c r="L149" s="53">
        <f t="shared" si="41"/>
        <v>57.677506506192223</v>
      </c>
      <c r="V149" s="54"/>
      <c r="X149" s="142"/>
      <c r="Y149" s="21"/>
      <c r="Z149" s="54"/>
      <c r="AA149" s="54"/>
      <c r="AH149" s="381"/>
      <c r="AI149" s="53"/>
      <c r="AJ149" s="53"/>
      <c r="AK149" s="53"/>
    </row>
    <row r="150" spans="1:37">
      <c r="A150" s="107" t="s">
        <v>585</v>
      </c>
      <c r="B150" s="302"/>
      <c r="C150" s="302"/>
      <c r="D150" s="302"/>
      <c r="E150" s="302"/>
      <c r="F150" s="302"/>
      <c r="G150" s="302"/>
      <c r="H150" s="302"/>
      <c r="I150" s="302"/>
      <c r="J150" s="302"/>
      <c r="K150" s="302"/>
      <c r="L150" s="302"/>
      <c r="V150" s="375"/>
      <c r="W150" s="375"/>
      <c r="X150" s="375"/>
      <c r="Y150" s="375"/>
      <c r="Z150" s="375"/>
      <c r="AA150" s="375"/>
      <c r="AH150" s="381"/>
      <c r="AI150" s="53"/>
      <c r="AJ150" s="53"/>
      <c r="AK150" s="53"/>
    </row>
    <row r="151" spans="1:37" ht="17">
      <c r="A151" s="66" t="e" vm="16">
        <v>#VALUE!</v>
      </c>
      <c r="B151" s="77">
        <v>144232</v>
      </c>
      <c r="C151" s="16">
        <f>(0.195+0.212+0.187)</f>
        <v>0.59400000000000008</v>
      </c>
      <c r="D151" s="77">
        <f>B151*C151</f>
        <v>85673.808000000019</v>
      </c>
      <c r="E151" s="20">
        <f>24.2</f>
        <v>24.2</v>
      </c>
      <c r="F151" s="287">
        <f>(134214/59003)</f>
        <v>2.2746978967171159</v>
      </c>
      <c r="G151" s="20">
        <f t="shared" si="39"/>
        <v>1.3511705506499669</v>
      </c>
      <c r="H151" s="20">
        <f>0.99</f>
        <v>0.99</v>
      </c>
      <c r="I151" s="20">
        <f t="shared" si="40"/>
        <v>0.73269802951505303</v>
      </c>
      <c r="J151" s="53">
        <v>50227</v>
      </c>
      <c r="K151" s="297">
        <f t="shared" ref="K151:K169" si="42">J151/G151*$B$172</f>
        <v>46023.833682643562</v>
      </c>
      <c r="L151" s="53">
        <f t="shared" si="41"/>
        <v>26.29933353293918</v>
      </c>
      <c r="AH151" s="53"/>
      <c r="AI151" s="53"/>
      <c r="AJ151" s="53"/>
      <c r="AK151" s="53"/>
    </row>
    <row r="152" spans="1:37" ht="17">
      <c r="A152" s="66" t="e" vm="17">
        <v>#VALUE!</v>
      </c>
      <c r="B152" s="77">
        <v>45677</v>
      </c>
      <c r="C152" s="16">
        <f>(0.154+0.196+0.198)</f>
        <v>0.54800000000000004</v>
      </c>
      <c r="D152" s="77">
        <f t="shared" ref="D152:D169" si="43">B152*C152</f>
        <v>25030.996000000003</v>
      </c>
      <c r="E152" s="20">
        <v>13.7</v>
      </c>
      <c r="F152" s="287">
        <f>47720/18810</f>
        <v>2.536948431685274</v>
      </c>
      <c r="G152" s="20">
        <f t="shared" si="39"/>
        <v>1.3902477405635303</v>
      </c>
      <c r="H152" s="20">
        <v>1.17</v>
      </c>
      <c r="I152" s="20">
        <f t="shared" si="40"/>
        <v>0.8415766239805188</v>
      </c>
      <c r="J152" s="53">
        <v>50227</v>
      </c>
      <c r="K152" s="297">
        <f t="shared" si="42"/>
        <v>44730.192242422338</v>
      </c>
      <c r="L152" s="53">
        <f t="shared" si="41"/>
        <v>25.560109852812765</v>
      </c>
      <c r="W152" s="53"/>
      <c r="X152" s="53"/>
      <c r="Y152" s="54"/>
      <c r="Z152" s="54"/>
      <c r="AH152" s="54"/>
      <c r="AI152" s="54"/>
      <c r="AJ152" s="54"/>
      <c r="AK152" s="54"/>
    </row>
    <row r="153" spans="1:37">
      <c r="A153" s="87" t="e" vm="18">
        <v>#VALUE!</v>
      </c>
      <c r="B153" s="77">
        <v>185463</v>
      </c>
      <c r="C153" s="16">
        <f>((0.226+0.219+0.182)+(0.28+0.205+0.157))/2</f>
        <v>0.63450000000000006</v>
      </c>
      <c r="D153" s="77">
        <f t="shared" si="43"/>
        <v>117676.27350000001</v>
      </c>
      <c r="E153" s="20">
        <f>10.6+15.7</f>
        <v>26.299999999999997</v>
      </c>
      <c r="F153" s="287">
        <f>(67415/30970+101968/45662)/2</f>
        <v>2.2049440486650891</v>
      </c>
      <c r="G153" s="20">
        <f t="shared" si="39"/>
        <v>1.3990369988779991</v>
      </c>
      <c r="H153" s="20">
        <f>(0.92+0.82)/2</f>
        <v>0.87</v>
      </c>
      <c r="I153" s="20">
        <f t="shared" si="40"/>
        <v>0.62185632023865223</v>
      </c>
      <c r="J153" s="53">
        <v>50227</v>
      </c>
      <c r="K153" s="297">
        <f t="shared" si="42"/>
        <v>44449.180936509911</v>
      </c>
      <c r="L153" s="53">
        <f t="shared" si="41"/>
        <v>25.399531963719948</v>
      </c>
      <c r="W153" s="53"/>
      <c r="X153" s="377"/>
    </row>
    <row r="154" spans="1:37">
      <c r="A154" s="63" t="e" vm="19">
        <v>#VALUE!</v>
      </c>
      <c r="B154" s="77">
        <v>20022</v>
      </c>
      <c r="C154" s="16">
        <f>((0.157+0.195+0.265)+(0.192+0.189+0.192))/2</f>
        <v>0.59499999999999997</v>
      </c>
      <c r="D154" s="77">
        <f t="shared" si="43"/>
        <v>11913.09</v>
      </c>
      <c r="E154" s="20">
        <f>22.8+0.9</f>
        <v>23.7</v>
      </c>
      <c r="F154" s="20">
        <f>(14660/5255+3710/1685)/2</f>
        <v>2.4957522438711752</v>
      </c>
      <c r="G154" s="20">
        <f t="shared" si="39"/>
        <v>1.4849725851033493</v>
      </c>
      <c r="H154" s="20">
        <f>(2.04+1.13)/2</f>
        <v>1.585</v>
      </c>
      <c r="I154" s="20">
        <f t="shared" si="40"/>
        <v>1.0673597720928223</v>
      </c>
      <c r="J154" s="53">
        <v>50227</v>
      </c>
      <c r="K154" s="297">
        <f t="shared" si="42"/>
        <v>41876.900168949614</v>
      </c>
      <c r="L154" s="53">
        <f t="shared" si="41"/>
        <v>23.929657239399781</v>
      </c>
      <c r="W154" s="376"/>
      <c r="AH154" s="54"/>
    </row>
    <row r="155" spans="1:37">
      <c r="A155" s="63" t="e" vm="20">
        <v>#VALUE!</v>
      </c>
      <c r="B155" s="77">
        <v>50172</v>
      </c>
      <c r="C155" s="16">
        <f>((0.21+0.224+0.218)+(0.188+0.203+0.219))/2</f>
        <v>0.63100000000000001</v>
      </c>
      <c r="D155" s="77">
        <f t="shared" si="43"/>
        <v>31658.531999999999</v>
      </c>
      <c r="E155" s="20">
        <f>2+15.7</f>
        <v>17.7</v>
      </c>
      <c r="F155" s="20">
        <f>(5230/2370+39300/17575)/2</f>
        <v>2.2214409612810679</v>
      </c>
      <c r="G155" s="20">
        <f t="shared" si="39"/>
        <v>1.401729246568354</v>
      </c>
      <c r="H155" s="20">
        <f>(1.14+1.17)/2</f>
        <v>1.1549999999999998</v>
      </c>
      <c r="I155" s="20">
        <f t="shared" si="40"/>
        <v>0.82398223681757032</v>
      </c>
      <c r="J155" s="53">
        <v>50227</v>
      </c>
      <c r="K155" s="297">
        <f t="shared" si="42"/>
        <v>44363.809096686025</v>
      </c>
      <c r="L155" s="53">
        <f t="shared" si="41"/>
        <v>25.350748055249156</v>
      </c>
      <c r="W155" s="53"/>
      <c r="X155" s="53"/>
      <c r="Y155" s="54"/>
      <c r="AD155" s="16"/>
    </row>
    <row r="156" spans="1:37" ht="17">
      <c r="A156" s="66" t="e" vm="21">
        <v>#VALUE!</v>
      </c>
      <c r="B156" s="77">
        <v>90975</v>
      </c>
      <c r="C156" s="16">
        <f>(0.184+0.203+0.204)</f>
        <v>0.59099999999999997</v>
      </c>
      <c r="D156" s="77">
        <f t="shared" si="43"/>
        <v>53766.224999999999</v>
      </c>
      <c r="E156" s="20">
        <v>16.3</v>
      </c>
      <c r="F156" s="20">
        <f>73360/31811</f>
        <v>2.3061205243469241</v>
      </c>
      <c r="G156" s="20">
        <f t="shared" si="39"/>
        <v>1.362917229889032</v>
      </c>
      <c r="H156" s="20">
        <v>1.17</v>
      </c>
      <c r="I156" s="20">
        <f t="shared" si="40"/>
        <v>0.85845271770117748</v>
      </c>
      <c r="J156" s="53">
        <v>50227</v>
      </c>
      <c r="K156" s="297">
        <f t="shared" si="42"/>
        <v>45627.164538130579</v>
      </c>
      <c r="L156" s="53">
        <f t="shared" si="41"/>
        <v>26.072665450360329</v>
      </c>
      <c r="X156" s="21"/>
      <c r="Y156" s="21"/>
    </row>
    <row r="157" spans="1:37">
      <c r="A157" s="63" t="e" vm="22">
        <v>#VALUE!</v>
      </c>
      <c r="B157" s="77">
        <v>149629</v>
      </c>
      <c r="C157" s="16">
        <f>((0.353+0.227+0.174)+(0.198+0.2+0.22))/2</f>
        <v>0.68599999999999994</v>
      </c>
      <c r="D157" s="77">
        <f t="shared" si="43"/>
        <v>102645.49399999999</v>
      </c>
      <c r="E157" s="20">
        <f>8.6+19</f>
        <v>27.6</v>
      </c>
      <c r="F157" s="20">
        <f>(66435/36315+87945/41165)/2</f>
        <v>1.982905809239401</v>
      </c>
      <c r="G157" s="20">
        <f t="shared" si="39"/>
        <v>1.3602733851382289</v>
      </c>
      <c r="H157" s="20">
        <f>(0.65+1.02)/2</f>
        <v>0.83499999999999996</v>
      </c>
      <c r="I157" s="20">
        <f t="shared" si="40"/>
        <v>0.6138471936030333</v>
      </c>
      <c r="J157" s="53">
        <v>50227</v>
      </c>
      <c r="K157" s="297">
        <f t="shared" si="42"/>
        <v>45715.846078750372</v>
      </c>
      <c r="L157" s="53">
        <f t="shared" si="41"/>
        <v>26.123340616428784</v>
      </c>
      <c r="W157" s="54"/>
    </row>
    <row r="158" spans="1:37">
      <c r="A158" s="63" t="e" vm="23">
        <v>#VALUE!</v>
      </c>
      <c r="B158" s="77">
        <v>93250</v>
      </c>
      <c r="C158" s="16">
        <f>(0.181+0.196+0.187)</f>
        <v>0.56400000000000006</v>
      </c>
      <c r="D158" s="77">
        <f t="shared" si="43"/>
        <v>52593.000000000007</v>
      </c>
      <c r="E158" s="20">
        <v>11.1</v>
      </c>
      <c r="F158" s="20">
        <f>84161/35015</f>
        <v>2.4035698986148795</v>
      </c>
      <c r="G158" s="20">
        <f t="shared" si="39"/>
        <v>1.3556134228187922</v>
      </c>
      <c r="H158" s="20">
        <v>1.02</v>
      </c>
      <c r="I158" s="20">
        <f t="shared" si="40"/>
        <v>0.75242689606825008</v>
      </c>
      <c r="J158" s="53">
        <v>50227</v>
      </c>
      <c r="K158" s="297">
        <f t="shared" si="42"/>
        <v>45872.995688323557</v>
      </c>
      <c r="L158" s="53">
        <f t="shared" si="41"/>
        <v>26.213140393327748</v>
      </c>
    </row>
    <row r="159" spans="1:37">
      <c r="A159" s="63" t="e" vm="24">
        <v>#VALUE!</v>
      </c>
      <c r="B159" s="77">
        <v>27075</v>
      </c>
      <c r="C159" s="16">
        <f>(0.178+0.182+0.169)</f>
        <v>0.52900000000000003</v>
      </c>
      <c r="D159" s="77">
        <f t="shared" si="43"/>
        <v>14322.675000000001</v>
      </c>
      <c r="E159" s="20">
        <v>3.9</v>
      </c>
      <c r="F159" s="20">
        <f>23830/9170</f>
        <v>2.5986913849509268</v>
      </c>
      <c r="G159" s="20">
        <f t="shared" si="39"/>
        <v>1.3747077426390404</v>
      </c>
      <c r="H159" s="20">
        <v>1</v>
      </c>
      <c r="I159" s="20">
        <f t="shared" si="40"/>
        <v>0.72742734254212449</v>
      </c>
      <c r="J159" s="53">
        <v>50227</v>
      </c>
      <c r="K159" s="297">
        <f t="shared" si="42"/>
        <v>45235.832149036134</v>
      </c>
      <c r="L159" s="53">
        <f t="shared" si="41"/>
        <v>25.849046942306362</v>
      </c>
    </row>
    <row r="160" spans="1:37">
      <c r="A160" s="63" t="e" vm="25">
        <v>#VALUE!</v>
      </c>
      <c r="B160" s="77">
        <v>74635</v>
      </c>
      <c r="C160" s="16">
        <f>((0.141+0.21+0.223)+(0.178+0.208+0.219))/2</f>
        <v>0.58949999999999991</v>
      </c>
      <c r="D160" s="77">
        <f t="shared" si="43"/>
        <v>43997.332499999997</v>
      </c>
      <c r="E160" s="20">
        <f>2.2+24.9</f>
        <v>27.099999999999998</v>
      </c>
      <c r="F160" s="20">
        <f>(5895/2124+63545/23231)/2</f>
        <v>2.7553886755642845</v>
      </c>
      <c r="G160" s="20">
        <f t="shared" si="39"/>
        <v>1.6243016242451453</v>
      </c>
      <c r="H160" s="20">
        <f>(1.65+1.64)/2</f>
        <v>1.645</v>
      </c>
      <c r="I160" s="20">
        <f t="shared" si="40"/>
        <v>1.0127429385317974</v>
      </c>
      <c r="J160" s="53">
        <v>50227</v>
      </c>
      <c r="K160" s="297">
        <f t="shared" si="42"/>
        <v>38284.791304631894</v>
      </c>
      <c r="L160" s="53">
        <f t="shared" si="41"/>
        <v>21.877023602646798</v>
      </c>
      <c r="Z160" s="378"/>
      <c r="AA160" s="379"/>
      <c r="AC160" s="53"/>
    </row>
    <row r="161" spans="1:29">
      <c r="A161" s="63" t="e" vm="26">
        <v>#VALUE!</v>
      </c>
      <c r="B161" s="77">
        <v>113295</v>
      </c>
      <c r="C161" s="16">
        <f>(0.356+0.235+0.154)</f>
        <v>0.745</v>
      </c>
      <c r="D161" s="77">
        <f t="shared" si="43"/>
        <v>84404.774999999994</v>
      </c>
      <c r="E161" s="20">
        <v>7.3</v>
      </c>
      <c r="F161" s="20">
        <f>89776/47836</f>
        <v>1.8767455472865624</v>
      </c>
      <c r="G161" s="20">
        <f t="shared" si="39"/>
        <v>1.398175432728489</v>
      </c>
      <c r="H161" s="20">
        <v>0.56999999999999995</v>
      </c>
      <c r="I161" s="20">
        <f t="shared" si="40"/>
        <v>0.40767416352586422</v>
      </c>
      <c r="J161" s="53">
        <v>50227</v>
      </c>
      <c r="K161" s="297">
        <f t="shared" si="42"/>
        <v>44476.570853949401</v>
      </c>
      <c r="L161" s="53">
        <f t="shared" si="41"/>
        <v>25.415183345113942</v>
      </c>
      <c r="Z161" s="378"/>
      <c r="AA161" s="379"/>
      <c r="AC161" s="53"/>
    </row>
    <row r="162" spans="1:29">
      <c r="A162" s="63" t="e" vm="27">
        <v>#VALUE!</v>
      </c>
      <c r="B162" s="77">
        <v>114702</v>
      </c>
      <c r="C162" s="16">
        <f>((0.178+0.181+0.257)+(0.181+0.201+0.214))/2</f>
        <v>0.60599999999999998</v>
      </c>
      <c r="D162" s="77">
        <f t="shared" si="43"/>
        <v>69509.411999999997</v>
      </c>
      <c r="E162" s="20">
        <f>19+23.4</f>
        <v>42.4</v>
      </c>
      <c r="F162" s="20">
        <f>(49019/21240+57665/21181)/2</f>
        <v>2.5151748291183398</v>
      </c>
      <c r="G162" s="20">
        <f t="shared" si="39"/>
        <v>1.5241959464457138</v>
      </c>
      <c r="H162" s="20">
        <f>(1.33+1.53)/2</f>
        <v>1.4300000000000002</v>
      </c>
      <c r="I162" s="20">
        <f t="shared" si="40"/>
        <v>0.93819958210401355</v>
      </c>
      <c r="J162" s="53">
        <v>50227</v>
      </c>
      <c r="K162" s="297">
        <f t="shared" si="42"/>
        <v>40799.248183943935</v>
      </c>
      <c r="L162" s="53">
        <f t="shared" si="41"/>
        <v>23.313856105110819</v>
      </c>
      <c r="W162" s="21"/>
      <c r="X162" s="21"/>
      <c r="Z162" s="378"/>
      <c r="AA162" s="379"/>
      <c r="AC162" s="53"/>
    </row>
    <row r="163" spans="1:29">
      <c r="A163" s="63" t="e" vm="28">
        <v>#VALUE!</v>
      </c>
      <c r="B163" s="77">
        <v>151016</v>
      </c>
      <c r="C163" s="16">
        <f>(0.229+0.228+0.197)</f>
        <v>0.65400000000000003</v>
      </c>
      <c r="D163" s="77">
        <f t="shared" si="43"/>
        <v>98764.464000000007</v>
      </c>
      <c r="E163" s="20">
        <v>11.9</v>
      </c>
      <c r="F163" s="20">
        <f>96606/50231</f>
        <v>1.9232346558897893</v>
      </c>
      <c r="G163" s="20">
        <f t="shared" si="39"/>
        <v>1.2577954649519223</v>
      </c>
      <c r="H163" s="20">
        <v>0.82</v>
      </c>
      <c r="I163" s="20">
        <f t="shared" si="40"/>
        <v>0.65193429524039781</v>
      </c>
      <c r="J163" s="53">
        <v>50227</v>
      </c>
      <c r="K163" s="297">
        <f t="shared" si="42"/>
        <v>49440.50955246287</v>
      </c>
      <c r="L163" s="53">
        <f t="shared" si="41"/>
        <v>28.251719744264499</v>
      </c>
      <c r="Z163" s="378"/>
      <c r="AA163" s="379"/>
      <c r="AC163" s="53"/>
    </row>
    <row r="164" spans="1:29">
      <c r="A164" s="63" t="e" vm="29">
        <v>#VALUE!</v>
      </c>
      <c r="B164" s="77">
        <v>110365</v>
      </c>
      <c r="C164" s="16">
        <f>(0.191+0.221+0.169)</f>
        <v>0.58100000000000007</v>
      </c>
      <c r="D164" s="77">
        <f t="shared" si="43"/>
        <v>64122.06500000001</v>
      </c>
      <c r="E164" s="20">
        <v>42.9</v>
      </c>
      <c r="F164" s="20">
        <f>98690/37370</f>
        <v>2.6408884131656407</v>
      </c>
      <c r="G164" s="20">
        <f t="shared" si="39"/>
        <v>1.5343561680492375</v>
      </c>
      <c r="H164" s="20">
        <v>1.24</v>
      </c>
      <c r="I164" s="20">
        <f t="shared" si="40"/>
        <v>0.80815655831495858</v>
      </c>
      <c r="J164" s="53">
        <v>50227</v>
      </c>
      <c r="K164" s="297">
        <f t="shared" si="42"/>
        <v>40529.083139192262</v>
      </c>
      <c r="L164" s="53">
        <f t="shared" si="41"/>
        <v>23.159476079538436</v>
      </c>
      <c r="Z164" s="378"/>
      <c r="AA164" s="379"/>
      <c r="AC164" s="53"/>
    </row>
    <row r="165" spans="1:29">
      <c r="A165" s="63" t="e" vm="30">
        <v>#VALUE!</v>
      </c>
      <c r="B165" s="77">
        <v>83571</v>
      </c>
      <c r="C165" s="16">
        <f>(0.167+0.215+0.171)</f>
        <v>0.55300000000000005</v>
      </c>
      <c r="D165" s="77">
        <f t="shared" si="43"/>
        <v>46214.763000000006</v>
      </c>
      <c r="E165" s="20">
        <v>13.5</v>
      </c>
      <c r="F165" s="20">
        <f>78245/30890</f>
        <v>2.5330203949498218</v>
      </c>
      <c r="G165" s="20">
        <f t="shared" si="39"/>
        <v>1.4007602784072515</v>
      </c>
      <c r="H165" s="20">
        <v>1.19</v>
      </c>
      <c r="I165" s="20">
        <f t="shared" si="40"/>
        <v>0.84953865293289255</v>
      </c>
      <c r="J165" s="53">
        <v>50227</v>
      </c>
      <c r="K165" s="297">
        <f t="shared" si="42"/>
        <v>44394.497515812822</v>
      </c>
      <c r="L165" s="53">
        <f t="shared" si="41"/>
        <v>25.368284294750183</v>
      </c>
      <c r="AC165" s="54"/>
    </row>
    <row r="166" spans="1:29">
      <c r="A166" s="63" t="e" vm="31">
        <v>#VALUE!</v>
      </c>
      <c r="B166" s="77">
        <v>93088</v>
      </c>
      <c r="C166" s="16">
        <f>(0.279+0.213+0.186)</f>
        <v>0.67799999999999994</v>
      </c>
      <c r="D166" s="77">
        <f t="shared" si="43"/>
        <v>63113.663999999997</v>
      </c>
      <c r="E166" s="20">
        <v>13.2</v>
      </c>
      <c r="F166" s="20">
        <f>76785/37956</f>
        <v>2.0230003161555485</v>
      </c>
      <c r="G166" s="20">
        <f t="shared" si="39"/>
        <v>1.3715942143534618</v>
      </c>
      <c r="H166" s="20">
        <v>0.81</v>
      </c>
      <c r="I166" s="20">
        <f t="shared" si="40"/>
        <v>0.59055367216011156</v>
      </c>
      <c r="J166" s="53">
        <v>50227</v>
      </c>
      <c r="K166" s="297">
        <f t="shared" si="42"/>
        <v>45338.517798657434</v>
      </c>
      <c r="L166" s="53">
        <f t="shared" si="41"/>
        <v>25.907724456375679</v>
      </c>
      <c r="V166" s="377"/>
      <c r="W166" s="53"/>
      <c r="X166" s="21"/>
    </row>
    <row r="167" spans="1:29" ht="17" customHeight="1">
      <c r="A167" s="63" t="e" vm="32">
        <v>#VALUE!</v>
      </c>
      <c r="B167" s="77">
        <v>76017</v>
      </c>
      <c r="C167" s="16">
        <f>((0.281+0.216+0.193)+(0.151+0.225+0.214))/2</f>
        <v>0.6399999999999999</v>
      </c>
      <c r="D167" s="77">
        <f t="shared" si="43"/>
        <v>48650.87999999999</v>
      </c>
      <c r="E167" s="20">
        <f>6.1+3.8</f>
        <v>9.8999999999999986</v>
      </c>
      <c r="F167" s="20">
        <f>(48410/24355+20545/9635)/2</f>
        <v>2.0600061237424248</v>
      </c>
      <c r="G167" s="20">
        <f t="shared" si="39"/>
        <v>1.3184039191951515</v>
      </c>
      <c r="H167" s="20">
        <f>(0.79+1.18)/2</f>
        <v>0.98499999999999999</v>
      </c>
      <c r="I167" s="20">
        <f t="shared" si="40"/>
        <v>0.74711549750346218</v>
      </c>
      <c r="J167" s="53">
        <v>50227</v>
      </c>
      <c r="K167" s="297">
        <f t="shared" si="42"/>
        <v>47167.675850025407</v>
      </c>
      <c r="L167" s="53">
        <f t="shared" si="41"/>
        <v>26.952957628585946</v>
      </c>
      <c r="V167" s="54"/>
      <c r="W167" s="54"/>
    </row>
    <row r="168" spans="1:29">
      <c r="A168" s="63" t="e" vm="33">
        <v>#VALUE!</v>
      </c>
      <c r="B168" s="77">
        <v>117823</v>
      </c>
      <c r="C168" s="16">
        <f>((0.446+0.174+0.149)+(0.391+0.193+0.169))/2</f>
        <v>0.76100000000000012</v>
      </c>
      <c r="D168" s="77">
        <f t="shared" si="43"/>
        <v>89663.303000000014</v>
      </c>
      <c r="E168" s="20">
        <f>8.7+3.6</f>
        <v>12.299999999999999</v>
      </c>
      <c r="F168" s="20">
        <f>(64290/39125+21270/11822)/2</f>
        <v>1.7211914214198578</v>
      </c>
      <c r="G168" s="20">
        <f t="shared" si="39"/>
        <v>1.309826671700512</v>
      </c>
      <c r="H168" s="20">
        <f>(0.61+0.55)/2</f>
        <v>0.58000000000000007</v>
      </c>
      <c r="I168" s="20">
        <f t="shared" si="40"/>
        <v>0.44280668009836904</v>
      </c>
      <c r="J168" s="53">
        <v>50227</v>
      </c>
      <c r="K168" s="297">
        <f t="shared" si="42"/>
        <v>47476.547884969819</v>
      </c>
      <c r="L168" s="53">
        <f t="shared" si="41"/>
        <v>27.129455934268467</v>
      </c>
      <c r="V168" s="20"/>
      <c r="W168" s="20"/>
      <c r="X168" s="20"/>
    </row>
    <row r="169" spans="1:29" ht="18" customHeight="1">
      <c r="A169" s="63" t="e" vm="34">
        <v>#VALUE!</v>
      </c>
      <c r="B169" s="77">
        <v>154204</v>
      </c>
      <c r="C169" s="16">
        <f>((0.316+0.226+0.16)+(0.212+0.216+0.179))/2</f>
        <v>0.65450000000000008</v>
      </c>
      <c r="D169" s="77">
        <f t="shared" si="43"/>
        <v>100926.51800000001</v>
      </c>
      <c r="E169" s="20">
        <f>10.8+9.7</f>
        <v>20.5</v>
      </c>
      <c r="F169" s="20">
        <f>(125305/62631+60660/24951)/2</f>
        <v>2.2159258222659979</v>
      </c>
      <c r="G169" s="20">
        <f t="shared" si="39"/>
        <v>1.4503234506730958</v>
      </c>
      <c r="H169" s="20">
        <f>(0.68+0.94)/2</f>
        <v>0.81</v>
      </c>
      <c r="I169" s="20">
        <f t="shared" si="40"/>
        <v>0.55849610624725032</v>
      </c>
      <c r="J169" s="53">
        <v>50227</v>
      </c>
      <c r="K169" s="297">
        <f t="shared" si="42"/>
        <v>42877.365508459116</v>
      </c>
      <c r="L169" s="53">
        <f t="shared" si="41"/>
        <v>24.501351719119494</v>
      </c>
    </row>
    <row r="170" spans="1:29">
      <c r="A170" s="19"/>
      <c r="B170" s="21"/>
      <c r="C170" s="20"/>
      <c r="F170" s="20"/>
      <c r="H170" s="19"/>
      <c r="I170" s="19"/>
    </row>
    <row r="171" spans="1:29">
      <c r="A171" s="19" t="s">
        <v>91</v>
      </c>
      <c r="B171" s="21">
        <v>8815910</v>
      </c>
      <c r="C171" s="20"/>
      <c r="F171" s="20"/>
      <c r="H171" s="19"/>
      <c r="I171" s="19"/>
    </row>
    <row r="172" spans="1:29">
      <c r="A172" s="19" t="s">
        <v>584</v>
      </c>
      <c r="B172" s="115">
        <v>1.2381</v>
      </c>
    </row>
    <row r="173" spans="1:29" ht="34">
      <c r="A173" s="27" t="s">
        <v>88</v>
      </c>
      <c r="B173" s="28"/>
      <c r="C173" s="28"/>
      <c r="E173" s="20"/>
    </row>
    <row r="174" spans="1:29" ht="17">
      <c r="A174" s="29" t="s">
        <v>89</v>
      </c>
      <c r="B174" s="28"/>
      <c r="C174" s="28"/>
    </row>
    <row r="175" spans="1:29">
      <c r="A175" s="230" t="s">
        <v>92</v>
      </c>
      <c r="B175" s="122"/>
      <c r="C175" s="122"/>
      <c r="D175" s="28"/>
      <c r="E175" s="28"/>
    </row>
    <row r="176" spans="1:29">
      <c r="A176" s="45" t="s">
        <v>89</v>
      </c>
      <c r="D176" s="28"/>
      <c r="E176" s="28"/>
    </row>
    <row r="177" spans="1:8">
      <c r="D177" s="122"/>
      <c r="E177" s="122"/>
    </row>
    <row r="178" spans="1:8" ht="27">
      <c r="A178" s="354" t="s">
        <v>101</v>
      </c>
    </row>
    <row r="179" spans="1:8">
      <c r="A179" s="43" t="s">
        <v>102</v>
      </c>
      <c r="B179" s="40" t="s">
        <v>103</v>
      </c>
      <c r="C179" s="40"/>
    </row>
    <row r="180" spans="1:8">
      <c r="A180" s="43" t="s">
        <v>104</v>
      </c>
      <c r="B180" s="40">
        <v>10600</v>
      </c>
      <c r="C180" s="40"/>
      <c r="D180" s="19"/>
    </row>
    <row r="181" spans="1:8">
      <c r="A181" s="43" t="s">
        <v>105</v>
      </c>
      <c r="B181" s="40">
        <f>J194</f>
        <v>1043.2619999999997</v>
      </c>
      <c r="C181" s="40"/>
      <c r="D181" s="19"/>
      <c r="G181" s="16"/>
      <c r="H181" s="16"/>
    </row>
    <row r="182" spans="1:8">
      <c r="A182" s="43" t="s">
        <v>106</v>
      </c>
      <c r="B182" s="40">
        <v>5262</v>
      </c>
      <c r="C182" s="40"/>
      <c r="D182" s="43"/>
      <c r="E182" s="40"/>
      <c r="F182" s="40"/>
      <c r="G182" s="16"/>
      <c r="H182" s="16"/>
    </row>
    <row r="183" spans="1:8">
      <c r="A183" s="43" t="s">
        <v>107</v>
      </c>
      <c r="B183" s="40">
        <v>100</v>
      </c>
      <c r="C183" s="40"/>
      <c r="D183" s="43"/>
      <c r="E183" s="40"/>
      <c r="F183" s="40"/>
      <c r="G183" s="16"/>
      <c r="H183" s="16"/>
    </row>
    <row r="184" spans="1:8" ht="17">
      <c r="A184" s="44" t="s">
        <v>109</v>
      </c>
      <c r="B184" s="40">
        <v>4500000</v>
      </c>
      <c r="C184" s="40"/>
      <c r="D184" s="43"/>
      <c r="E184" s="40"/>
      <c r="F184" s="40"/>
      <c r="G184" s="16"/>
      <c r="H184" s="16"/>
    </row>
    <row r="185" spans="1:8" ht="17">
      <c r="A185" s="44" t="s">
        <v>110</v>
      </c>
      <c r="B185" s="40">
        <v>1140000</v>
      </c>
      <c r="C185" s="41"/>
      <c r="G185" s="21"/>
      <c r="H185" s="16"/>
    </row>
    <row r="186" spans="1:8" ht="34">
      <c r="A186" s="44" t="s">
        <v>111</v>
      </c>
      <c r="B186" s="40">
        <v>2100000</v>
      </c>
      <c r="C186" s="41"/>
      <c r="G186" s="16"/>
    </row>
    <row r="187" spans="1:8" ht="34">
      <c r="A187" s="44" t="s">
        <v>112</v>
      </c>
      <c r="B187" s="40">
        <v>740000</v>
      </c>
      <c r="C187" s="41"/>
      <c r="D187" s="343"/>
    </row>
    <row r="188" spans="1:8" ht="17">
      <c r="A188" s="44" t="s">
        <v>113</v>
      </c>
      <c r="B188" s="41">
        <v>0.13600000000000001</v>
      </c>
      <c r="C188" s="41"/>
    </row>
    <row r="189" spans="1:8" ht="17">
      <c r="A189" s="44" t="s">
        <v>629</v>
      </c>
      <c r="B189" s="16">
        <v>0.68</v>
      </c>
      <c r="C189" s="41"/>
    </row>
    <row r="190" spans="1:8" ht="34">
      <c r="A190" s="46" t="s">
        <v>114</v>
      </c>
      <c r="C190" s="41"/>
    </row>
    <row r="191" spans="1:8">
      <c r="A191" s="45" t="s">
        <v>68</v>
      </c>
      <c r="B191" s="42"/>
      <c r="C191" s="41"/>
    </row>
    <row r="193" spans="1:18" ht="102">
      <c r="A193" s="248" t="s">
        <v>165</v>
      </c>
      <c r="B193" s="79" t="s">
        <v>157</v>
      </c>
      <c r="C193" s="79" t="s">
        <v>158</v>
      </c>
      <c r="D193" s="79" t="s">
        <v>159</v>
      </c>
      <c r="E193" s="79" t="s">
        <v>160</v>
      </c>
      <c r="F193" s="79" t="s">
        <v>161</v>
      </c>
      <c r="G193" s="262" t="s">
        <v>162</v>
      </c>
      <c r="H193" s="79" t="s">
        <v>163</v>
      </c>
      <c r="I193" s="79" t="s">
        <v>164</v>
      </c>
      <c r="J193" s="79" t="s">
        <v>40</v>
      </c>
      <c r="K193" s="79" t="s">
        <v>419</v>
      </c>
      <c r="L193" s="79" t="s">
        <v>290</v>
      </c>
      <c r="M193" s="79" t="s">
        <v>448</v>
      </c>
      <c r="N193" s="79" t="s">
        <v>440</v>
      </c>
      <c r="O193" s="79" t="s">
        <v>439</v>
      </c>
      <c r="P193" s="79" t="s">
        <v>781</v>
      </c>
      <c r="Q193" s="79" t="s">
        <v>782</v>
      </c>
    </row>
    <row r="194" spans="1:18">
      <c r="A194" s="19" t="s">
        <v>349</v>
      </c>
      <c r="B194" s="79">
        <f>SUM(B195:B209)</f>
        <v>265.70199999999994</v>
      </c>
      <c r="C194" s="79">
        <f t="shared" ref="C194:I194" si="44">SUM(C195:C209)</f>
        <v>300.64299999999997</v>
      </c>
      <c r="D194" s="79">
        <f t="shared" si="44"/>
        <v>155.036</v>
      </c>
      <c r="E194" s="79">
        <f t="shared" si="44"/>
        <v>192.02100000000002</v>
      </c>
      <c r="F194" s="79">
        <f t="shared" si="44"/>
        <v>17.114999999999998</v>
      </c>
      <c r="G194" s="262">
        <f t="shared" si="44"/>
        <v>95.412999999999997</v>
      </c>
      <c r="H194" s="79">
        <f t="shared" si="44"/>
        <v>6.1550000000000002</v>
      </c>
      <c r="I194" s="79">
        <f t="shared" si="44"/>
        <v>11.177</v>
      </c>
      <c r="J194" s="79">
        <f>SUM(J195:J209)</f>
        <v>1043.2619999999997</v>
      </c>
      <c r="K194" s="252">
        <f>D194+E194</f>
        <v>347.05700000000002</v>
      </c>
      <c r="L194" s="267">
        <f>K194*0.0015</f>
        <v>0.52058550000000003</v>
      </c>
      <c r="M194" s="267">
        <f>(B194+C194+H194+I194)*0.0015</f>
        <v>0.87551549999999989</v>
      </c>
      <c r="N194" s="66">
        <f>SUM(N195:N209)</f>
        <v>453.45100000000002</v>
      </c>
      <c r="O194" s="263">
        <f t="shared" ref="O194:O209" si="45">N194*0.0015*ERF(0,$D50*100)</f>
        <v>0.68017581662306537</v>
      </c>
      <c r="P194" s="400">
        <f>L194/(IF('Résultat - projection'!$B$209=1,'Clés de répartition'!D50,'Clés de répartition'!I50/0.15)*D134)</f>
        <v>1.1198232537452002E-5</v>
      </c>
      <c r="Q194" s="400">
        <f>M194/(IF('Résultat - projection'!$B$209=1,'Clés de répartition'!D50,'Clés de répartition'!I50/0.15)*D134)</f>
        <v>1.8833075756323517E-5</v>
      </c>
    </row>
    <row r="195" spans="1:18">
      <c r="A195" s="63" t="s">
        <v>71</v>
      </c>
      <c r="B195" s="66">
        <v>3.302</v>
      </c>
      <c r="C195" s="66">
        <v>0</v>
      </c>
      <c r="D195" s="66">
        <v>0</v>
      </c>
      <c r="E195" s="83">
        <v>1.056</v>
      </c>
      <c r="F195" s="83">
        <v>5.3999999999999999E-2</v>
      </c>
      <c r="G195" s="263">
        <v>0</v>
      </c>
      <c r="H195" s="66">
        <v>0</v>
      </c>
      <c r="I195" s="66">
        <v>0</v>
      </c>
      <c r="J195">
        <f t="shared" ref="J195:J209" si="46">SUM(B195:I195)</f>
        <v>4.4120000000000008</v>
      </c>
      <c r="K195" s="252">
        <f t="shared" ref="K195:K209" si="47">D195+E195</f>
        <v>1.056</v>
      </c>
      <c r="L195" s="267">
        <f t="shared" ref="L195:L229" si="48">K195*0.0015</f>
        <v>1.5840000000000001E-3</v>
      </c>
      <c r="M195" s="267">
        <f t="shared" ref="M195:M229" si="49">(B195+C195+H195+I195)*0.0015</f>
        <v>4.9529999999999999E-3</v>
      </c>
      <c r="N195" s="19">
        <v>0</v>
      </c>
      <c r="O195" s="263">
        <f t="shared" si="45"/>
        <v>0</v>
      </c>
      <c r="P195" s="400">
        <f>L195/(IF('Résultat - projection'!$B$209=1,'Clés de répartition'!D51,'Clés de répartition'!I51/0.15)*D135)</f>
        <v>4.6848670899462459E-5</v>
      </c>
      <c r="Q195" s="400">
        <f>M195/(IF('Résultat - projection'!$B$209=1,'Clés de répartition'!D51,'Clés de répartition'!I51/0.15)*D135)</f>
        <v>1.4649082510419036E-4</v>
      </c>
    </row>
    <row r="196" spans="1:18" ht="17">
      <c r="A196" s="66" t="s">
        <v>72</v>
      </c>
      <c r="B196" s="83">
        <v>12.458</v>
      </c>
      <c r="C196" s="83">
        <v>10.106999999999999</v>
      </c>
      <c r="D196" s="83">
        <v>2.3849999999999998</v>
      </c>
      <c r="E196" s="83">
        <v>2.581</v>
      </c>
      <c r="F196" s="83">
        <v>0.11700000000000001</v>
      </c>
      <c r="G196" s="263">
        <v>0</v>
      </c>
      <c r="H196" s="66">
        <v>0</v>
      </c>
      <c r="I196" s="66">
        <v>0</v>
      </c>
      <c r="J196">
        <f t="shared" si="46"/>
        <v>27.647999999999996</v>
      </c>
      <c r="K196" s="252">
        <f t="shared" si="47"/>
        <v>4.9659999999999993</v>
      </c>
      <c r="L196" s="267">
        <f t="shared" si="48"/>
        <v>7.448999999999999E-3</v>
      </c>
      <c r="M196" s="267">
        <f t="shared" si="49"/>
        <v>3.3847499999999996E-2</v>
      </c>
      <c r="N196" s="19">
        <v>0</v>
      </c>
      <c r="O196" s="263">
        <f t="shared" si="45"/>
        <v>0</v>
      </c>
      <c r="P196" s="400">
        <f>L196/(IF('Résultat - projection'!$B$209=1,'Clés de répartition'!D52,'Clés de répartition'!I52/0.15)*D136)</f>
        <v>8.679600928767832E-5</v>
      </c>
      <c r="Q196" s="400">
        <f>M196/(IF('Résultat - projection'!$B$209=1,'Clés de répartition'!D52,'Clés de répartition'!I52/0.15)*D136)</f>
        <v>3.9439225726469216E-4</v>
      </c>
    </row>
    <row r="197" spans="1:18" ht="17">
      <c r="A197" s="66" t="s">
        <v>73</v>
      </c>
      <c r="B197" s="83">
        <v>10.122</v>
      </c>
      <c r="C197" s="83">
        <v>2.738</v>
      </c>
      <c r="D197" s="66">
        <v>0</v>
      </c>
      <c r="E197" s="83">
        <v>0.52500000000000002</v>
      </c>
      <c r="F197" s="66">
        <v>0</v>
      </c>
      <c r="G197" s="264">
        <v>0.193</v>
      </c>
      <c r="H197" s="66">
        <v>0</v>
      </c>
      <c r="I197" s="66">
        <v>0</v>
      </c>
      <c r="J197">
        <f t="shared" si="46"/>
        <v>13.577999999999999</v>
      </c>
      <c r="K197" s="252">
        <f t="shared" si="47"/>
        <v>0.52500000000000002</v>
      </c>
      <c r="L197" s="267">
        <f t="shared" si="48"/>
        <v>7.8750000000000001E-4</v>
      </c>
      <c r="M197" s="267">
        <f t="shared" si="49"/>
        <v>1.9289999999999998E-2</v>
      </c>
      <c r="N197" s="19">
        <v>0</v>
      </c>
      <c r="O197" s="263">
        <f t="shared" si="45"/>
        <v>0</v>
      </c>
      <c r="P197" s="400">
        <f>L197/(IF('Résultat - projection'!$B$209=1,'Clés de répartition'!D53,'Clés de répartition'!I53/0.15)*D137)</f>
        <v>4.3019380247288779E-6</v>
      </c>
      <c r="Q197" s="400">
        <f>M197/(IF('Résultat - projection'!$B$209=1,'Clés de répartition'!D53,'Clés de répartition'!I53/0.15)*D137)</f>
        <v>1.0537699618669213E-4</v>
      </c>
    </row>
    <row r="198" spans="1:18">
      <c r="A198" s="63" t="s">
        <v>74</v>
      </c>
      <c r="B198" s="83">
        <v>5.8999999999999997E-2</v>
      </c>
      <c r="C198" s="83">
        <v>8.5120000000000005</v>
      </c>
      <c r="D198" s="83">
        <v>1.7909999999999999</v>
      </c>
      <c r="E198" s="83">
        <v>7.2709999999999999</v>
      </c>
      <c r="F198" s="66">
        <v>0</v>
      </c>
      <c r="G198" s="264">
        <v>2.3039999999999998</v>
      </c>
      <c r="H198" s="66">
        <v>0</v>
      </c>
      <c r="I198" s="66">
        <v>0</v>
      </c>
      <c r="J198">
        <f t="shared" si="46"/>
        <v>19.936999999999998</v>
      </c>
      <c r="K198" s="252">
        <f t="shared" si="47"/>
        <v>9.0619999999999994</v>
      </c>
      <c r="L198" s="267">
        <f t="shared" si="48"/>
        <v>1.3592999999999999E-2</v>
      </c>
      <c r="M198" s="267">
        <f t="shared" si="49"/>
        <v>1.28565E-2</v>
      </c>
      <c r="N198" s="19">
        <v>0</v>
      </c>
      <c r="O198" s="263">
        <f t="shared" si="45"/>
        <v>0</v>
      </c>
      <c r="P198" s="400">
        <f>L198/(IF('Résultat - projection'!$B$209=1,'Clés de répartition'!D54,'Clés de répartition'!I54/0.15)*D138)</f>
        <v>1.3465283007702445E-4</v>
      </c>
      <c r="Q198" s="400">
        <f>M198/(IF('Résultat - projection'!$B$209=1,'Clés de répartition'!D54,'Clés de répartition'!I54/0.15)*D138)</f>
        <v>1.2735703008057565E-4</v>
      </c>
    </row>
    <row r="199" spans="1:18" ht="17">
      <c r="A199" s="66" t="s">
        <v>75</v>
      </c>
      <c r="B199" s="83">
        <v>5.0629999999999997</v>
      </c>
      <c r="C199" s="83">
        <v>5.4329999999999998</v>
      </c>
      <c r="D199" s="83">
        <v>2.5720000000000001</v>
      </c>
      <c r="E199" s="83">
        <v>2.7389999999999999</v>
      </c>
      <c r="F199" s="66">
        <v>0</v>
      </c>
      <c r="G199" s="264">
        <v>0.152</v>
      </c>
      <c r="H199" s="66">
        <v>0</v>
      </c>
      <c r="I199" s="66">
        <v>0</v>
      </c>
      <c r="J199">
        <f t="shared" si="46"/>
        <v>15.958999999999998</v>
      </c>
      <c r="K199" s="252">
        <f t="shared" si="47"/>
        <v>5.3109999999999999</v>
      </c>
      <c r="L199" s="267">
        <f t="shared" si="48"/>
        <v>7.9664999999999996E-3</v>
      </c>
      <c r="M199" s="267">
        <f t="shared" si="49"/>
        <v>1.5743999999999998E-2</v>
      </c>
      <c r="N199" s="19">
        <v>0</v>
      </c>
      <c r="O199" s="263">
        <f t="shared" si="45"/>
        <v>0</v>
      </c>
      <c r="P199" s="400">
        <f>L199/(IF('Résultat - projection'!$B$209=1,'Clés de répartition'!D55,'Clés de répartition'!I55/0.15)*D139)</f>
        <v>4.4912544587416096E-5</v>
      </c>
      <c r="Q199" s="400">
        <f>M199/(IF('Résultat - projection'!$B$209=1,'Clés de répartition'!D55,'Clés de répartition'!I55/0.15)*D139)</f>
        <v>8.8759568440881058E-5</v>
      </c>
    </row>
    <row r="200" spans="1:18" ht="17">
      <c r="A200" s="66" t="s">
        <v>76</v>
      </c>
      <c r="B200" s="83">
        <v>0</v>
      </c>
      <c r="C200" s="83">
        <v>0</v>
      </c>
      <c r="D200" s="83">
        <v>0</v>
      </c>
      <c r="E200" s="83">
        <v>0</v>
      </c>
      <c r="F200" s="66">
        <v>0</v>
      </c>
      <c r="G200" s="264">
        <v>0</v>
      </c>
      <c r="H200" s="66">
        <v>0</v>
      </c>
      <c r="I200" s="66">
        <v>0</v>
      </c>
      <c r="J200">
        <f t="shared" si="46"/>
        <v>0</v>
      </c>
      <c r="K200" s="252">
        <f t="shared" si="47"/>
        <v>0</v>
      </c>
      <c r="L200" s="267">
        <f t="shared" si="48"/>
        <v>0</v>
      </c>
      <c r="M200" s="267">
        <f t="shared" si="49"/>
        <v>0</v>
      </c>
      <c r="N200" s="19">
        <f t="shared" ref="N200" si="50">J200-K200</f>
        <v>0</v>
      </c>
      <c r="O200" s="263">
        <f t="shared" si="45"/>
        <v>0</v>
      </c>
      <c r="P200" s="400">
        <f>L200/(IF('Résultat - projection'!$B$209=1,'Clés de répartition'!D56,'Clés de répartition'!I56/0.15)*D140)</f>
        <v>0</v>
      </c>
      <c r="Q200" s="400">
        <f>M200/(IF('Résultat - projection'!$B$209=1,'Clés de répartition'!D56,'Clés de répartition'!I56/0.15)*D140)</f>
        <v>0</v>
      </c>
    </row>
    <row r="201" spans="1:18" ht="17">
      <c r="A201" s="66" t="s">
        <v>77</v>
      </c>
      <c r="B201" s="83">
        <v>1.0609999999999999</v>
      </c>
      <c r="C201" s="83">
        <v>2.2040000000000002</v>
      </c>
      <c r="D201" s="83">
        <v>0.34599999999999997</v>
      </c>
      <c r="E201" s="83">
        <v>7.9770000000000003</v>
      </c>
      <c r="F201" s="83">
        <v>0.83299999999999996</v>
      </c>
      <c r="G201" s="264">
        <v>1.145</v>
      </c>
      <c r="H201" s="66">
        <v>0</v>
      </c>
      <c r="I201" s="66">
        <v>0</v>
      </c>
      <c r="J201">
        <f t="shared" si="46"/>
        <v>13.566000000000001</v>
      </c>
      <c r="K201" s="252">
        <f>D201+E201</f>
        <v>8.3230000000000004</v>
      </c>
      <c r="L201" s="267">
        <f>K201*0.0015*D57</f>
        <v>1.7653745099306929E-5</v>
      </c>
      <c r="M201" s="267">
        <f t="shared" si="49"/>
        <v>4.8974999999999999E-3</v>
      </c>
      <c r="N201" s="19">
        <v>0</v>
      </c>
      <c r="O201" s="263">
        <f t="shared" si="45"/>
        <v>0</v>
      </c>
      <c r="P201" s="400">
        <f>L201/(IF('Résultat - projection'!$B$209=1,'Clés de répartition'!D57,'Clés de répartition'!I57/0.15)*D141)</f>
        <v>1.0582692751739159E-6</v>
      </c>
      <c r="Q201" s="400">
        <f>M201/(IF('Résultat - projection'!$B$209=1,'Clés de répartition'!D57,'Clés de répartition'!I57/0.15)*D141)</f>
        <v>2.9358494449813536E-4</v>
      </c>
      <c r="R201" s="20"/>
    </row>
    <row r="202" spans="1:18" ht="17">
      <c r="A202" s="84" t="s">
        <v>166</v>
      </c>
      <c r="B202">
        <f t="shared" ref="B202:J202" si="51">SUM(B211:B229)</f>
        <v>224.19499999999996</v>
      </c>
      <c r="C202">
        <f t="shared" si="51"/>
        <v>265.54899999999998</v>
      </c>
      <c r="D202">
        <f t="shared" si="51"/>
        <v>142.233</v>
      </c>
      <c r="E202">
        <f t="shared" si="51"/>
        <v>149.72800000000001</v>
      </c>
      <c r="F202">
        <f t="shared" si="51"/>
        <v>10.991999999999999</v>
      </c>
      <c r="G202" s="252">
        <f t="shared" si="51"/>
        <v>90.876000000000005</v>
      </c>
      <c r="H202">
        <f t="shared" si="51"/>
        <v>6.1550000000000002</v>
      </c>
      <c r="I202">
        <f t="shared" si="51"/>
        <v>11.177</v>
      </c>
      <c r="J202">
        <f t="shared" si="51"/>
        <v>900.90499999999986</v>
      </c>
      <c r="K202" s="252">
        <f>D202+E202</f>
        <v>291.96100000000001</v>
      </c>
      <c r="L202" s="267">
        <f>K202*0.0015</f>
        <v>0.43794150000000004</v>
      </c>
      <c r="M202" s="267">
        <f>(B202+C202+H202+I202)*0.0015</f>
        <v>0.7606139999999999</v>
      </c>
      <c r="N202" s="19">
        <f>717-C202</f>
        <v>451.45100000000002</v>
      </c>
      <c r="O202" s="263">
        <f t="shared" si="45"/>
        <v>0.67717640066038265</v>
      </c>
      <c r="P202" s="400">
        <f>L202/(IF('Résultat - projection'!$B$209=1,'Clés de répartition'!D58,'Clés de répartition'!I58/0.15)*D142)</f>
        <v>9.7805095188612468E-6</v>
      </c>
      <c r="Q202" s="400">
        <f>M202/(IF('Résultat - projection'!$B$209=1,'Clés de répartition'!D58,'Clés de répartition'!I58/0.15)*D142)</f>
        <v>1.6986726462733326E-5</v>
      </c>
    </row>
    <row r="203" spans="1:18">
      <c r="A203" s="63" t="s">
        <v>80</v>
      </c>
      <c r="B203" s="83">
        <v>0.81799999999999995</v>
      </c>
      <c r="C203" s="83">
        <v>0</v>
      </c>
      <c r="D203" s="83">
        <v>2.7010000000000001</v>
      </c>
      <c r="E203" s="83">
        <v>0.48699999999999999</v>
      </c>
      <c r="F203" s="66">
        <v>0</v>
      </c>
      <c r="G203" s="264">
        <v>0</v>
      </c>
      <c r="H203" s="66">
        <v>0</v>
      </c>
      <c r="I203" s="66">
        <v>0</v>
      </c>
      <c r="J203">
        <f t="shared" si="46"/>
        <v>4.0060000000000002</v>
      </c>
      <c r="K203" s="252">
        <f t="shared" si="47"/>
        <v>3.1880000000000002</v>
      </c>
      <c r="L203" s="267">
        <f t="shared" si="48"/>
        <v>4.7820000000000007E-3</v>
      </c>
      <c r="M203" s="267">
        <f t="shared" si="49"/>
        <v>1.227E-3</v>
      </c>
      <c r="N203" s="19">
        <v>0</v>
      </c>
      <c r="O203" s="263">
        <f t="shared" si="45"/>
        <v>0</v>
      </c>
      <c r="P203" s="400">
        <f>L203/(IF('Résultat - projection'!$B$209=1,'Clés de répartition'!D59,'Clés de répartition'!I59/0.15)*D143)</f>
        <v>2.4253873829281606E-4</v>
      </c>
      <c r="Q203" s="400">
        <f>M203/(IF('Résultat - projection'!$B$209=1,'Clés de répartition'!D59,'Clés de répartition'!I59/0.15)*D143)</f>
        <v>6.2232336236989799E-5</v>
      </c>
    </row>
    <row r="204" spans="1:18">
      <c r="A204" s="63" t="s">
        <v>81</v>
      </c>
      <c r="B204" s="83">
        <v>0.70599999999999996</v>
      </c>
      <c r="C204" s="83">
        <v>0</v>
      </c>
      <c r="D204" s="83">
        <v>0.08</v>
      </c>
      <c r="E204" s="83">
        <v>0</v>
      </c>
      <c r="F204" s="66">
        <v>0</v>
      </c>
      <c r="G204" s="264">
        <v>0</v>
      </c>
      <c r="H204" s="66">
        <v>0</v>
      </c>
      <c r="I204" s="66">
        <v>0</v>
      </c>
      <c r="J204">
        <f t="shared" si="46"/>
        <v>0.78599999999999992</v>
      </c>
      <c r="K204" s="252">
        <f t="shared" si="47"/>
        <v>0.08</v>
      </c>
      <c r="L204" s="267">
        <f t="shared" si="48"/>
        <v>1.2E-4</v>
      </c>
      <c r="M204" s="267">
        <f t="shared" si="49"/>
        <v>1.059E-3</v>
      </c>
      <c r="N204" s="19">
        <v>0</v>
      </c>
      <c r="O204" s="263">
        <f t="shared" si="45"/>
        <v>0</v>
      </c>
      <c r="P204" s="400">
        <f>L204/(IF('Résultat - projection'!$B$209=1,'Clés de répartition'!D60,'Clés de répartition'!I60/0.15)*D144)</f>
        <v>1.6447305037377732E-6</v>
      </c>
      <c r="Q204" s="400">
        <f>M204/(IF('Résultat - projection'!$B$209=1,'Clés de répartition'!D60,'Clés de répartition'!I60/0.15)*D144)</f>
        <v>1.4514746695485849E-5</v>
      </c>
    </row>
    <row r="205" spans="1:18">
      <c r="A205" s="63" t="s">
        <v>78</v>
      </c>
      <c r="B205" s="83">
        <v>6.0970000000000004</v>
      </c>
      <c r="C205" s="83">
        <v>0.217</v>
      </c>
      <c r="D205" s="83">
        <v>0</v>
      </c>
      <c r="E205" s="83">
        <v>0.28199999999999997</v>
      </c>
      <c r="F205" s="66">
        <v>0</v>
      </c>
      <c r="G205" s="264">
        <v>0</v>
      </c>
      <c r="H205" s="66">
        <v>0</v>
      </c>
      <c r="I205" s="66">
        <v>0</v>
      </c>
      <c r="J205">
        <f t="shared" si="46"/>
        <v>6.5960000000000001</v>
      </c>
      <c r="K205" s="252">
        <f t="shared" si="47"/>
        <v>0.28199999999999997</v>
      </c>
      <c r="L205" s="267">
        <f t="shared" si="48"/>
        <v>4.2299999999999998E-4</v>
      </c>
      <c r="M205" s="267">
        <f t="shared" si="49"/>
        <v>9.4710000000000003E-3</v>
      </c>
      <c r="N205" s="19">
        <v>0</v>
      </c>
      <c r="O205" s="263">
        <f t="shared" si="45"/>
        <v>0</v>
      </c>
      <c r="P205" s="400">
        <f>L205/(IF('Résultat - projection'!$B$209=1,'Clés de répartition'!D61,'Clés de répartition'!I61/0.15)*D145)</f>
        <v>1.6472202240306806E-6</v>
      </c>
      <c r="Q205" s="400">
        <f>M205/(IF('Résultat - projection'!$B$209=1,'Clés de répartition'!D61,'Clés de répartition'!I61/0.15)*D145)</f>
        <v>3.6881377640176307E-5</v>
      </c>
    </row>
    <row r="206" spans="1:18">
      <c r="A206" s="63" t="s">
        <v>82</v>
      </c>
      <c r="B206" s="83">
        <v>0.18099999999999999</v>
      </c>
      <c r="C206" s="83">
        <v>1.123</v>
      </c>
      <c r="D206" s="83">
        <v>1.234</v>
      </c>
      <c r="E206" s="83">
        <v>12.012</v>
      </c>
      <c r="F206" s="83">
        <v>5.1189999999999998</v>
      </c>
      <c r="G206" s="264">
        <v>0.72899999999999998</v>
      </c>
      <c r="H206" s="66">
        <v>0</v>
      </c>
      <c r="I206" s="66">
        <v>0</v>
      </c>
      <c r="J206">
        <f t="shared" si="46"/>
        <v>20.398</v>
      </c>
      <c r="K206" s="252">
        <f t="shared" si="47"/>
        <v>13.246</v>
      </c>
      <c r="L206" s="267">
        <f t="shared" si="48"/>
        <v>1.9869000000000001E-2</v>
      </c>
      <c r="M206" s="267">
        <f t="shared" si="49"/>
        <v>1.9560000000000003E-3</v>
      </c>
      <c r="N206" s="19">
        <v>0</v>
      </c>
      <c r="O206" s="263">
        <f t="shared" si="45"/>
        <v>0</v>
      </c>
      <c r="P206" s="400">
        <f>L206/(IF('Résultat - projection'!$B$209=1,'Clés de répartition'!D62,'Clés de répartition'!I62/0.15)*D146)</f>
        <v>6.9040534552617844E-5</v>
      </c>
      <c r="Q206" s="400">
        <f>M206/(IF('Résultat - projection'!$B$209=1,'Clés de répartition'!D62,'Clés de répartition'!I62/0.15)*D146)</f>
        <v>6.7966825499481854E-6</v>
      </c>
    </row>
    <row r="207" spans="1:18">
      <c r="A207" s="63" t="s">
        <v>83</v>
      </c>
      <c r="B207" s="83">
        <v>1.64</v>
      </c>
      <c r="C207" s="83">
        <v>1.4019999999999999</v>
      </c>
      <c r="D207" s="83">
        <v>0</v>
      </c>
      <c r="E207" s="83">
        <v>7.08</v>
      </c>
      <c r="F207" s="66">
        <v>0</v>
      </c>
      <c r="G207" s="264">
        <v>1.4E-2</v>
      </c>
      <c r="H207" s="66">
        <v>0</v>
      </c>
      <c r="I207" s="66">
        <v>0</v>
      </c>
      <c r="J207">
        <f t="shared" si="46"/>
        <v>10.135999999999999</v>
      </c>
      <c r="K207" s="252">
        <f t="shared" si="47"/>
        <v>7.08</v>
      </c>
      <c r="L207" s="267">
        <f t="shared" si="48"/>
        <v>1.0620000000000001E-2</v>
      </c>
      <c r="M207" s="267">
        <f t="shared" si="49"/>
        <v>4.5630000000000002E-3</v>
      </c>
      <c r="N207" s="19">
        <v>0</v>
      </c>
      <c r="O207" s="263">
        <f t="shared" si="45"/>
        <v>0</v>
      </c>
      <c r="P207" s="400">
        <f>L207/(IF('Résultat - projection'!$B$209=1,'Clés de répartition'!D63,'Clés de répartition'!I63/0.15)*D147)</f>
        <v>7.6032016833179489E-4</v>
      </c>
      <c r="Q207" s="400">
        <f>M207/(IF('Résultat - projection'!$B$209=1,'Clés de répartition'!D63,'Clés de répartition'!I63/0.15)*D147)</f>
        <v>3.2667993673238981E-4</v>
      </c>
    </row>
    <row r="208" spans="1:18">
      <c r="A208" s="63" t="s">
        <v>84</v>
      </c>
      <c r="B208" s="83">
        <v>0</v>
      </c>
      <c r="C208" s="83">
        <v>0.185</v>
      </c>
      <c r="D208" s="83">
        <v>0</v>
      </c>
      <c r="E208" s="83">
        <v>0</v>
      </c>
      <c r="F208" s="66">
        <v>0</v>
      </c>
      <c r="G208" s="264">
        <v>0</v>
      </c>
      <c r="H208" s="66">
        <v>0</v>
      </c>
      <c r="I208" s="66">
        <v>0</v>
      </c>
      <c r="J208">
        <f t="shared" si="46"/>
        <v>0.185</v>
      </c>
      <c r="K208" s="252">
        <f t="shared" si="47"/>
        <v>0</v>
      </c>
      <c r="L208" s="267">
        <f t="shared" si="48"/>
        <v>0</v>
      </c>
      <c r="M208" s="267">
        <f t="shared" si="49"/>
        <v>2.7750000000000002E-4</v>
      </c>
      <c r="N208" s="19">
        <v>0</v>
      </c>
      <c r="O208" s="263">
        <f t="shared" si="45"/>
        <v>0</v>
      </c>
      <c r="P208" s="400">
        <f>L208/(IF('Résultat - projection'!$B$209=1,'Clés de répartition'!D64,'Clés de répartition'!I64/0.15)*D148)</f>
        <v>0</v>
      </c>
      <c r="Q208" s="400">
        <f>M208/(IF('Résultat - projection'!$B$209=1,'Clés de répartition'!D64,'Clés de répartition'!I64/0.15)*D148)</f>
        <v>7.1715505475611851E-6</v>
      </c>
    </row>
    <row r="209" spans="1:17">
      <c r="A209" s="63" t="s">
        <v>85</v>
      </c>
      <c r="B209" s="83">
        <v>0</v>
      </c>
      <c r="C209" s="83">
        <v>3.173</v>
      </c>
      <c r="D209" s="83">
        <v>1.694</v>
      </c>
      <c r="E209" s="83">
        <v>0.28299999999999997</v>
      </c>
      <c r="F209" s="66">
        <v>0</v>
      </c>
      <c r="G209" s="264">
        <v>0</v>
      </c>
      <c r="H209" s="66">
        <v>0</v>
      </c>
      <c r="I209" s="66">
        <v>0</v>
      </c>
      <c r="J209">
        <f t="shared" si="46"/>
        <v>5.15</v>
      </c>
      <c r="K209" s="252">
        <f t="shared" si="47"/>
        <v>1.9769999999999999</v>
      </c>
      <c r="L209" s="267">
        <f t="shared" si="48"/>
        <v>2.9654999999999998E-3</v>
      </c>
      <c r="M209" s="267">
        <f t="shared" si="49"/>
        <v>4.7594999999999998E-3</v>
      </c>
      <c r="N209" s="19">
        <v>2</v>
      </c>
      <c r="O209" s="263">
        <f t="shared" si="45"/>
        <v>2.9999987060226351E-3</v>
      </c>
      <c r="P209" s="400">
        <f>L209/(IF('Résultat - projection'!$B$209=1,'Clés de répartition'!D65,'Clés de répartition'!I65/0.15)*D149)</f>
        <v>7.865444380524369E-6</v>
      </c>
      <c r="Q209" s="400">
        <f>M209/(IF('Résultat - projection'!$B$209=1,'Clés de répartition'!D65,'Clés de répartition'!I65/0.15)*D149)</f>
        <v>1.262370006039647E-5</v>
      </c>
    </row>
    <row r="210" spans="1:17">
      <c r="A210" s="107" t="s">
        <v>585</v>
      </c>
      <c r="B210" s="302"/>
      <c r="C210" s="302"/>
      <c r="D210" s="302"/>
      <c r="E210" s="302"/>
      <c r="F210" s="302"/>
      <c r="G210" s="302"/>
      <c r="H210" s="302"/>
      <c r="I210" s="302"/>
      <c r="J210" s="302"/>
      <c r="K210" s="302"/>
      <c r="L210" s="302"/>
      <c r="M210" s="302"/>
      <c r="N210" s="302"/>
      <c r="O210" s="302"/>
      <c r="P210" s="302"/>
      <c r="Q210" s="302"/>
    </row>
    <row r="211" spans="1:17">
      <c r="A211" s="597" t="s">
        <v>154</v>
      </c>
      <c r="B211" s="83">
        <v>11.907</v>
      </c>
      <c r="C211" s="83">
        <v>13.276999999999999</v>
      </c>
      <c r="D211" s="83">
        <v>20.998000000000001</v>
      </c>
      <c r="E211" s="83">
        <v>8.609</v>
      </c>
      <c r="F211" s="83">
        <v>1.1839999999999999</v>
      </c>
      <c r="G211" s="263">
        <v>0</v>
      </c>
      <c r="H211" s="66">
        <v>0</v>
      </c>
      <c r="I211" s="66">
        <v>0</v>
      </c>
      <c r="J211">
        <f>SUM(B211:I211)</f>
        <v>55.975000000000001</v>
      </c>
      <c r="K211" s="252">
        <f>D211+E211</f>
        <v>29.606999999999999</v>
      </c>
      <c r="L211" s="267">
        <f>K211*0.0015</f>
        <v>4.4410499999999999E-2</v>
      </c>
      <c r="M211" s="267">
        <f t="shared" si="49"/>
        <v>3.7775999999999997E-2</v>
      </c>
      <c r="P211" s="400">
        <f>L211/(IF('Résultat - projection'!$B$209=1,'Clés de répartition'!D67,'Clés de répartition'!I67/0.15)*D151)</f>
        <v>1.4821420012569188E-5</v>
      </c>
      <c r="Q211" s="400">
        <f>M211/(IF('Résultat - projection'!$B$209=1,'Clés de répartition'!D67,'Clés de répartition'!I67/0.15)*D151)</f>
        <v>1.260724293567543E-5</v>
      </c>
    </row>
    <row r="212" spans="1:17">
      <c r="A212" s="597" t="s">
        <v>155</v>
      </c>
      <c r="B212" s="83">
        <v>2.0329999999999999</v>
      </c>
      <c r="C212" s="83">
        <v>14.177</v>
      </c>
      <c r="D212" s="83">
        <v>0.54700000000000004</v>
      </c>
      <c r="E212" s="83">
        <v>3.4860000000000002</v>
      </c>
      <c r="F212" s="83">
        <v>0.11799999999999999</v>
      </c>
      <c r="G212" s="263">
        <v>0</v>
      </c>
      <c r="H212" s="66">
        <v>0</v>
      </c>
      <c r="I212" s="66">
        <v>0</v>
      </c>
      <c r="J212">
        <f t="shared" ref="J212:J229" si="52">SUM(B212:I212)</f>
        <v>20.361000000000001</v>
      </c>
      <c r="K212" s="252">
        <f t="shared" ref="K212:K229" si="53">D212+E212</f>
        <v>4.0330000000000004</v>
      </c>
      <c r="L212" s="267">
        <f t="shared" si="48"/>
        <v>6.0495000000000011E-3</v>
      </c>
      <c r="M212" s="267">
        <f t="shared" si="49"/>
        <v>2.4315000000000003E-2</v>
      </c>
      <c r="P212" s="400">
        <f>L212/(IF('Résultat - projection'!$B$209=1,'Clés de répartition'!D68,'Clés de répartition'!I68/0.15)*D152)</f>
        <v>1.5998333109823188E-5</v>
      </c>
      <c r="Q212" s="400">
        <f>M212/(IF('Résultat - projection'!$B$209=1,'Clés de répartition'!D68,'Clés de répartition'!I68/0.15)*D152)</f>
        <v>6.4302747262641666E-5</v>
      </c>
    </row>
    <row r="213" spans="1:17">
      <c r="A213" s="597" t="s">
        <v>156</v>
      </c>
      <c r="B213" s="83">
        <v>4.5039999999999996</v>
      </c>
      <c r="C213" s="83">
        <v>29.661999999999999</v>
      </c>
      <c r="D213" s="83">
        <v>5.0890000000000004</v>
      </c>
      <c r="E213" s="83">
        <v>0.64700000000000002</v>
      </c>
      <c r="F213" s="83">
        <v>0.08</v>
      </c>
      <c r="G213" s="264">
        <v>0.71799999999999997</v>
      </c>
      <c r="H213" s="66">
        <v>0</v>
      </c>
      <c r="I213" s="66">
        <v>0</v>
      </c>
      <c r="J213">
        <f t="shared" si="52"/>
        <v>40.699999999999989</v>
      </c>
      <c r="K213" s="252">
        <f t="shared" si="53"/>
        <v>5.7360000000000007</v>
      </c>
      <c r="L213" s="267">
        <f t="shared" si="48"/>
        <v>8.6040000000000005E-3</v>
      </c>
      <c r="M213" s="267">
        <f t="shared" si="49"/>
        <v>5.1248999999999996E-2</v>
      </c>
      <c r="P213" s="400">
        <f>L213/(IF('Résultat - projection'!$B$209=1,'Clés de répartition'!D69,'Clés de répartition'!I69/0.15)*D153)</f>
        <v>3.4053455707536871E-6</v>
      </c>
      <c r="Q213" s="400">
        <f>M213/(IF('Résultat - projection'!$B$209=1,'Clés de répartition'!D69,'Clés de répartition'!I69/0.15)*D153)</f>
        <v>2.0283653551319815E-5</v>
      </c>
    </row>
    <row r="214" spans="1:17">
      <c r="A214" s="597" t="s">
        <v>403</v>
      </c>
      <c r="B214" s="83">
        <v>19.212</v>
      </c>
      <c r="C214" s="66">
        <v>0</v>
      </c>
      <c r="D214" s="83">
        <v>1.75</v>
      </c>
      <c r="E214" s="83">
        <v>5.6559999999999997</v>
      </c>
      <c r="F214" s="66">
        <v>0</v>
      </c>
      <c r="G214" s="264">
        <v>10.081</v>
      </c>
      <c r="H214" s="66">
        <v>0</v>
      </c>
      <c r="I214" s="66">
        <v>0</v>
      </c>
      <c r="J214">
        <f t="shared" si="52"/>
        <v>36.698999999999998</v>
      </c>
      <c r="K214" s="252">
        <f t="shared" si="53"/>
        <v>7.4059999999999997</v>
      </c>
      <c r="L214" s="267">
        <f t="shared" si="48"/>
        <v>1.1108999999999999E-2</v>
      </c>
      <c r="M214" s="267">
        <f t="shared" si="49"/>
        <v>2.8818E-2</v>
      </c>
      <c r="P214" s="400">
        <f>L214/(IF('Résultat - projection'!$B$209=1,'Clés de répartition'!D70,'Clés de répartition'!I70/0.15)*D154)</f>
        <v>1.5263825149208253E-4</v>
      </c>
      <c r="Q214" s="400">
        <f>M214/(IF('Résultat - projection'!$B$209=1,'Clés de répartition'!D70,'Clés de répartition'!I70/0.15)*D154)</f>
        <v>3.9596085439723059E-4</v>
      </c>
    </row>
    <row r="215" spans="1:17">
      <c r="A215" s="597" t="s">
        <v>168</v>
      </c>
      <c r="B215" s="83">
        <v>8.73</v>
      </c>
      <c r="C215" s="83">
        <v>1.597</v>
      </c>
      <c r="D215" s="83">
        <v>0.45200000000000001</v>
      </c>
      <c r="E215" s="83">
        <v>13.664</v>
      </c>
      <c r="F215" s="83">
        <v>0.67100000000000004</v>
      </c>
      <c r="G215" s="264">
        <v>1.4E-2</v>
      </c>
      <c r="H215" s="66">
        <v>0</v>
      </c>
      <c r="I215" s="66">
        <v>0</v>
      </c>
      <c r="J215">
        <f t="shared" si="52"/>
        <v>25.127999999999997</v>
      </c>
      <c r="K215" s="252">
        <f t="shared" si="53"/>
        <v>14.116</v>
      </c>
      <c r="L215" s="267">
        <f t="shared" si="48"/>
        <v>2.1173999999999998E-2</v>
      </c>
      <c r="M215" s="267">
        <f t="shared" si="49"/>
        <v>1.5490500000000001E-2</v>
      </c>
      <c r="P215" s="400">
        <f>L215/(IF('Résultat - projection'!$B$209=1,'Clés de répartition'!D71,'Clés de répartition'!I71/0.15)*D155)</f>
        <v>6.1387764476584304E-5</v>
      </c>
      <c r="Q215" s="400">
        <f>M215/(IF('Résultat - projection'!$B$209=1,'Clés de répartition'!D71,'Clés de répartition'!I71/0.15)*D155)</f>
        <v>4.4910133447838353E-5</v>
      </c>
    </row>
    <row r="216" spans="1:17">
      <c r="A216" s="597" t="s">
        <v>167</v>
      </c>
      <c r="B216" s="66">
        <v>0</v>
      </c>
      <c r="C216" s="83">
        <v>9.7680000000000007</v>
      </c>
      <c r="D216" s="83">
        <v>0.61099999999999999</v>
      </c>
      <c r="E216" s="83">
        <v>17.013999999999999</v>
      </c>
      <c r="F216" s="83">
        <v>1.0429999999999999</v>
      </c>
      <c r="G216" s="264">
        <v>0.77</v>
      </c>
      <c r="H216" s="66">
        <v>0</v>
      </c>
      <c r="I216" s="66">
        <v>0</v>
      </c>
      <c r="J216">
        <f t="shared" si="52"/>
        <v>29.206</v>
      </c>
      <c r="K216" s="252">
        <f t="shared" si="53"/>
        <v>17.625</v>
      </c>
      <c r="L216" s="267">
        <f t="shared" si="48"/>
        <v>2.6437499999999999E-2</v>
      </c>
      <c r="M216" s="267">
        <f t="shared" si="49"/>
        <v>1.4652000000000002E-2</v>
      </c>
      <c r="P216" s="400">
        <f>L216/(IF('Résultat - projection'!$B$209=1,'Clés de répartition'!D72,'Clés de répartition'!I72/0.15)*D156)</f>
        <v>3.4490941732594558E-5</v>
      </c>
      <c r="Q216" s="400">
        <f>M216/(IF('Résultat - projection'!$B$209=1,'Clés de répartition'!D72,'Clés de répartition'!I72/0.15)*D156)</f>
        <v>1.9115320218098364E-5</v>
      </c>
    </row>
    <row r="217" spans="1:17">
      <c r="A217" s="597" t="s">
        <v>170</v>
      </c>
      <c r="B217" s="83">
        <v>18.291</v>
      </c>
      <c r="C217" s="83">
        <v>27.041</v>
      </c>
      <c r="D217" s="83">
        <v>15.521000000000001</v>
      </c>
      <c r="E217" s="83">
        <v>9.15</v>
      </c>
      <c r="F217" s="83">
        <v>3.145</v>
      </c>
      <c r="G217" s="264">
        <v>3.5640000000000001</v>
      </c>
      <c r="H217" s="66">
        <v>0</v>
      </c>
      <c r="I217" s="83">
        <v>2.0840000000000001</v>
      </c>
      <c r="J217">
        <f t="shared" si="52"/>
        <v>78.795999999999992</v>
      </c>
      <c r="K217" s="252">
        <f t="shared" si="53"/>
        <v>24.670999999999999</v>
      </c>
      <c r="L217" s="267">
        <f t="shared" si="48"/>
        <v>3.7006499999999998E-2</v>
      </c>
      <c r="M217" s="267">
        <f t="shared" si="49"/>
        <v>7.1124000000000007E-2</v>
      </c>
      <c r="P217" s="400">
        <f>L217/(IF('Résultat - projection'!$B$209=1,'Clés de répartition'!D73,'Clés de répartition'!I73/0.15)*D157)</f>
        <v>9.3848481390160908E-6</v>
      </c>
      <c r="Q217" s="400">
        <f>M217/(IF('Résultat - projection'!$B$209=1,'Clés de répartition'!D73,'Clés de répartition'!I73/0.15)*D157)</f>
        <v>1.8037045898406512E-5</v>
      </c>
    </row>
    <row r="218" spans="1:17">
      <c r="A218" s="597" t="s">
        <v>171</v>
      </c>
      <c r="B218" s="83">
        <v>10.042999999999999</v>
      </c>
      <c r="C218" s="83">
        <v>5.7770000000000001</v>
      </c>
      <c r="D218" s="83">
        <v>4.218</v>
      </c>
      <c r="E218" s="83">
        <v>3.5049999999999999</v>
      </c>
      <c r="F218" s="83">
        <v>0</v>
      </c>
      <c r="G218" s="264">
        <v>0</v>
      </c>
      <c r="H218" s="66">
        <v>0</v>
      </c>
      <c r="I218" s="66">
        <v>0</v>
      </c>
      <c r="J218">
        <f t="shared" si="52"/>
        <v>23.542999999999999</v>
      </c>
      <c r="K218" s="252">
        <f t="shared" si="53"/>
        <v>7.7229999999999999</v>
      </c>
      <c r="L218" s="267">
        <f t="shared" si="48"/>
        <v>1.1584499999999999E-2</v>
      </c>
      <c r="M218" s="267">
        <f t="shared" si="49"/>
        <v>2.3730000000000001E-2</v>
      </c>
      <c r="P218" s="400">
        <f>L218/(IF('Résultat - projection'!$B$209=1,'Clés de répartition'!D74,'Clés de répartition'!I74/0.15)*D158)</f>
        <v>2.8335412283886449E-5</v>
      </c>
      <c r="Q218" s="400">
        <f>M218/(IF('Résultat - projection'!$B$209=1,'Clés de répartition'!D74,'Clés de répartition'!I74/0.15)*D158)</f>
        <v>5.8043017264156894E-5</v>
      </c>
    </row>
    <row r="219" spans="1:17">
      <c r="A219" s="597" t="s">
        <v>172</v>
      </c>
      <c r="B219" s="83">
        <v>4.6120000000000001</v>
      </c>
      <c r="C219" s="83">
        <v>1.508</v>
      </c>
      <c r="D219" s="83">
        <v>2.6480000000000001</v>
      </c>
      <c r="E219" s="83">
        <v>0</v>
      </c>
      <c r="F219" s="83">
        <v>0</v>
      </c>
      <c r="G219" s="264">
        <v>0</v>
      </c>
      <c r="H219" s="66">
        <v>0</v>
      </c>
      <c r="I219" s="66">
        <v>0</v>
      </c>
      <c r="J219">
        <f t="shared" si="52"/>
        <v>8.7680000000000007</v>
      </c>
      <c r="K219" s="252">
        <f t="shared" si="53"/>
        <v>2.6480000000000001</v>
      </c>
      <c r="L219" s="267">
        <f t="shared" si="48"/>
        <v>3.9720000000000007E-3</v>
      </c>
      <c r="M219" s="267">
        <f t="shared" si="49"/>
        <v>9.1800000000000007E-3</v>
      </c>
      <c r="P219" s="400">
        <f>L219/(IF('Résultat - projection'!$B$209=1,'Clés de répartition'!D75,'Clés de répartition'!I75/0.15)*D159)</f>
        <v>3.3234629549929582E-6</v>
      </c>
      <c r="Q219" s="400">
        <f>M219/(IF('Résultat - projection'!$B$209=1,'Clés de répartition'!D75,'Clés de répartition'!I75/0.15)*D159)</f>
        <v>7.681115288729948E-6</v>
      </c>
    </row>
    <row r="220" spans="1:17">
      <c r="A220" s="597" t="s">
        <v>173</v>
      </c>
      <c r="B220" s="83">
        <v>31.975999999999999</v>
      </c>
      <c r="C220" s="83">
        <v>7.5679999999999996</v>
      </c>
      <c r="D220" s="83">
        <v>1.962</v>
      </c>
      <c r="E220" s="83">
        <v>8.3010000000000002</v>
      </c>
      <c r="F220" s="83">
        <v>0.30199999999999999</v>
      </c>
      <c r="G220" s="264">
        <v>17.312000000000001</v>
      </c>
      <c r="H220" s="66">
        <v>0</v>
      </c>
      <c r="I220" s="66">
        <v>0</v>
      </c>
      <c r="J220">
        <f t="shared" si="52"/>
        <v>67.421000000000006</v>
      </c>
      <c r="K220" s="252">
        <f t="shared" si="53"/>
        <v>10.263</v>
      </c>
      <c r="L220" s="267">
        <f t="shared" si="48"/>
        <v>1.53945E-2</v>
      </c>
      <c r="M220" s="267">
        <f t="shared" si="49"/>
        <v>5.9315999999999994E-2</v>
      </c>
      <c r="P220" s="400">
        <f>L220/(IF('Résultat - projection'!$B$209=1,'Clés de répartition'!D76,'Clés de répartition'!I76/0.15)*D160)</f>
        <v>1.1790099118325329E-4</v>
      </c>
      <c r="Q220" s="400">
        <f>M220/(IF('Résultat - projection'!$B$209=1,'Clés de répartition'!D76,'Clés de répartition'!I76/0.15)*D160)</f>
        <v>4.5428011257435131E-4</v>
      </c>
    </row>
    <row r="221" spans="1:17">
      <c r="A221" s="597" t="s">
        <v>350</v>
      </c>
      <c r="B221" s="83">
        <v>13.712999999999999</v>
      </c>
      <c r="C221" s="83">
        <v>25.111000000000001</v>
      </c>
      <c r="D221" s="83">
        <v>12.718999999999999</v>
      </c>
      <c r="E221" s="83">
        <v>0.90400000000000003</v>
      </c>
      <c r="F221" s="83">
        <v>0.217</v>
      </c>
      <c r="G221" s="264">
        <v>0.32500000000000001</v>
      </c>
      <c r="H221" s="83">
        <v>1.82</v>
      </c>
      <c r="I221" s="66">
        <v>0</v>
      </c>
      <c r="J221">
        <f t="shared" si="52"/>
        <v>54.809000000000005</v>
      </c>
      <c r="K221" s="252">
        <f t="shared" si="53"/>
        <v>13.622999999999999</v>
      </c>
      <c r="L221" s="267">
        <f t="shared" si="48"/>
        <v>2.0434499999999998E-2</v>
      </c>
      <c r="M221" s="267">
        <f t="shared" si="49"/>
        <v>6.0965999999999999E-2</v>
      </c>
      <c r="P221" s="400">
        <f>L221/(IF('Résultat - projection'!$B$209=1,'Clés de répartition'!D77,'Clés de répartition'!I77/0.15)*D161)</f>
        <v>2.112085140507451E-6</v>
      </c>
      <c r="Q221" s="400">
        <f>M221/(IF('Résultat - projection'!$B$209=1,'Clés de répartition'!D77,'Clés de répartition'!I77/0.15)*D161)</f>
        <v>6.3013718307850573E-6</v>
      </c>
    </row>
    <row r="222" spans="1:17">
      <c r="A222" s="597" t="s">
        <v>174</v>
      </c>
      <c r="B222" s="83">
        <v>27.122</v>
      </c>
      <c r="C222" s="83">
        <v>16.3</v>
      </c>
      <c r="D222" s="83">
        <v>16.484999999999999</v>
      </c>
      <c r="E222" s="83">
        <v>12.648</v>
      </c>
      <c r="F222" s="83">
        <v>1.835</v>
      </c>
      <c r="G222" s="264">
        <v>15.284000000000001</v>
      </c>
      <c r="H222" s="66">
        <v>0</v>
      </c>
      <c r="I222" s="83">
        <v>7.0439999999999996</v>
      </c>
      <c r="J222">
        <f t="shared" si="52"/>
        <v>96.717999999999989</v>
      </c>
      <c r="K222" s="252">
        <f t="shared" si="53"/>
        <v>29.132999999999999</v>
      </c>
      <c r="L222" s="267">
        <f t="shared" si="48"/>
        <v>4.3699500000000002E-2</v>
      </c>
      <c r="M222" s="267">
        <f t="shared" si="49"/>
        <v>7.5698999999999989E-2</v>
      </c>
      <c r="P222" s="400">
        <f>L222/(IF('Résultat - projection'!$B$209=1,'Clés de répartition'!D78,'Clés de répartition'!I78/0.15)*D162)</f>
        <v>2.3836036633227895E-4</v>
      </c>
      <c r="Q222" s="400">
        <f>M222/(IF('Résultat - projection'!$B$209=1,'Clés de répartition'!D78,'Clés de répartition'!I78/0.15)*D162)</f>
        <v>4.1290269616327832E-4</v>
      </c>
    </row>
    <row r="223" spans="1:17">
      <c r="A223" s="597" t="s">
        <v>175</v>
      </c>
      <c r="B223" s="83">
        <v>20.042000000000002</v>
      </c>
      <c r="C223" s="83">
        <v>26.704999999999998</v>
      </c>
      <c r="D223" s="83">
        <v>20.684000000000001</v>
      </c>
      <c r="E223" s="83">
        <v>0.72399999999999998</v>
      </c>
      <c r="F223" s="83">
        <v>0.26900000000000002</v>
      </c>
      <c r="G223" s="264">
        <v>7.5149999999999997</v>
      </c>
      <c r="H223" s="83">
        <v>3.8929999999999998</v>
      </c>
      <c r="I223" s="83">
        <v>2.0489999999999999</v>
      </c>
      <c r="J223">
        <f t="shared" si="52"/>
        <v>81.881000000000014</v>
      </c>
      <c r="K223" s="252">
        <f t="shared" si="53"/>
        <v>21.408000000000001</v>
      </c>
      <c r="L223" s="267">
        <f t="shared" si="48"/>
        <v>3.2112000000000002E-2</v>
      </c>
      <c r="M223" s="267">
        <f t="shared" si="49"/>
        <v>7.9033500000000007E-2</v>
      </c>
      <c r="P223" s="400">
        <f>L223/(IF('Résultat - projection'!$B$209=1,'Clés de répartition'!D79,'Clés de répartition'!I79/0.15)*D163)</f>
        <v>4.5358718636508688E-6</v>
      </c>
      <c r="Q223" s="400">
        <f>M223/(IF('Résultat - projection'!$B$209=1,'Clés de répartition'!D79,'Clés de répartition'!I79/0.15)*D163)</f>
        <v>1.1163609520922116E-5</v>
      </c>
    </row>
    <row r="224" spans="1:17">
      <c r="A224" s="597" t="s">
        <v>176</v>
      </c>
      <c r="B224" s="83">
        <v>17.645</v>
      </c>
      <c r="C224" s="83">
        <v>42.822000000000003</v>
      </c>
      <c r="D224" s="83">
        <v>2.569</v>
      </c>
      <c r="E224" s="83">
        <v>8.2010000000000005</v>
      </c>
      <c r="F224" s="83">
        <v>1.9E-2</v>
      </c>
      <c r="G224" s="264">
        <v>3.4340000000000002</v>
      </c>
      <c r="H224" s="83">
        <v>0</v>
      </c>
      <c r="I224" s="83">
        <v>0</v>
      </c>
      <c r="J224">
        <f t="shared" si="52"/>
        <v>74.69</v>
      </c>
      <c r="K224" s="252">
        <f t="shared" si="53"/>
        <v>10.77</v>
      </c>
      <c r="L224" s="267">
        <f t="shared" si="48"/>
        <v>1.6154999999999999E-2</v>
      </c>
      <c r="M224" s="267">
        <f t="shared" si="49"/>
        <v>9.0700500000000003E-2</v>
      </c>
      <c r="P224" s="400">
        <f>L224/(IF('Résultat - projection'!$B$209=1,'Clés de répartition'!D80,'Clés de répartition'!I80/0.15)*D164)</f>
        <v>1.9062896725695399E-5</v>
      </c>
      <c r="Q224" s="400">
        <f>M224/(IF('Résultat - projection'!$B$209=1,'Clés de répartition'!D80,'Clés de répartition'!I80/0.15)*D164)</f>
        <v>1.0702657161677101E-4</v>
      </c>
    </row>
    <row r="225" spans="1:17">
      <c r="A225" s="597" t="s">
        <v>177</v>
      </c>
      <c r="B225" s="83">
        <v>4.4139999999999997</v>
      </c>
      <c r="C225" s="83">
        <v>2.8860000000000001</v>
      </c>
      <c r="D225" s="83">
        <v>1.732</v>
      </c>
      <c r="E225" s="83">
        <v>3.5459999999999998</v>
      </c>
      <c r="F225" s="83">
        <v>0</v>
      </c>
      <c r="G225" s="264">
        <v>0</v>
      </c>
      <c r="H225" s="66">
        <v>0</v>
      </c>
      <c r="I225" s="83">
        <v>0</v>
      </c>
      <c r="J225">
        <f t="shared" si="52"/>
        <v>12.577999999999999</v>
      </c>
      <c r="K225" s="252">
        <f t="shared" si="53"/>
        <v>5.2779999999999996</v>
      </c>
      <c r="L225" s="267">
        <f t="shared" si="48"/>
        <v>7.9169999999999987E-3</v>
      </c>
      <c r="M225" s="267">
        <f t="shared" si="49"/>
        <v>1.095E-2</v>
      </c>
      <c r="P225" s="400">
        <f>L225/(IF('Résultat - projection'!$B$209=1,'Clés de répartition'!D81,'Clés de répartition'!I81/0.15)*D165)</f>
        <v>6.1076015131381021E-5</v>
      </c>
      <c r="Q225" s="400">
        <f>M225/(IF('Résultat - projection'!$B$209=1,'Clés de répartition'!D81,'Clés de répartition'!I81/0.15)*D165)</f>
        <v>8.4474215698954444E-5</v>
      </c>
    </row>
    <row r="226" spans="1:17">
      <c r="A226" s="597" t="s">
        <v>351</v>
      </c>
      <c r="B226" s="83">
        <v>9.0869999999999997</v>
      </c>
      <c r="C226" s="83">
        <v>9.9529999999999994</v>
      </c>
      <c r="D226" s="83">
        <v>6.149</v>
      </c>
      <c r="E226" s="83">
        <v>15.951000000000001</v>
      </c>
      <c r="F226" s="83">
        <v>0.161</v>
      </c>
      <c r="G226" s="264">
        <v>2.8980000000000001</v>
      </c>
      <c r="H226" s="66">
        <v>0</v>
      </c>
      <c r="I226" s="66">
        <v>0</v>
      </c>
      <c r="J226">
        <f t="shared" si="52"/>
        <v>44.199000000000005</v>
      </c>
      <c r="K226" s="252">
        <f t="shared" si="53"/>
        <v>22.1</v>
      </c>
      <c r="L226" s="267">
        <f t="shared" si="48"/>
        <v>3.3150000000000006E-2</v>
      </c>
      <c r="M226" s="267">
        <f t="shared" si="49"/>
        <v>2.8559999999999999E-2</v>
      </c>
      <c r="P226" s="400">
        <f>L226/(IF('Résultat - projection'!$B$209=1,'Clés de répartition'!D82,'Clés de répartition'!I82/0.15)*D166)</f>
        <v>1.4977540956398482E-5</v>
      </c>
      <c r="Q226" s="400">
        <f>M226/(IF('Résultat - projection'!$B$209=1,'Clés de répartition'!D82,'Clés de répartition'!I82/0.15)*D166)</f>
        <v>1.2903727593204842E-5</v>
      </c>
    </row>
    <row r="227" spans="1:17">
      <c r="A227" s="597" t="s">
        <v>856</v>
      </c>
      <c r="B227" s="83">
        <v>3.282</v>
      </c>
      <c r="C227" s="83">
        <v>10.3</v>
      </c>
      <c r="D227" s="83">
        <v>3.2360000000000002</v>
      </c>
      <c r="E227" s="83">
        <v>28.238</v>
      </c>
      <c r="F227" s="83">
        <v>0.78800000000000003</v>
      </c>
      <c r="G227" s="264">
        <v>0.32500000000000001</v>
      </c>
      <c r="H227" s="66">
        <v>0</v>
      </c>
      <c r="I227" s="83">
        <v>0</v>
      </c>
      <c r="J227">
        <f t="shared" si="52"/>
        <v>46.168999999999997</v>
      </c>
      <c r="K227" s="252">
        <f t="shared" si="53"/>
        <v>31.474</v>
      </c>
      <c r="L227" s="267">
        <f t="shared" si="48"/>
        <v>4.7211000000000003E-2</v>
      </c>
      <c r="M227" s="267">
        <f t="shared" si="49"/>
        <v>2.0373000000000002E-2</v>
      </c>
      <c r="P227" s="400">
        <f>L227/(IF('Résultat - projection'!$B$209=1,'Clés de répartition'!D83,'Clés de répartition'!I83/0.15)*D167)</f>
        <v>2.992792996179337E-5</v>
      </c>
      <c r="Q227" s="400">
        <f>M227/(IF('Résultat - projection'!$B$209=1,'Clés de répartition'!D83,'Clés de répartition'!I83/0.15)*D167)</f>
        <v>1.2914823179166218E-5</v>
      </c>
    </row>
    <row r="228" spans="1:17">
      <c r="A228" s="597" t="s">
        <v>178</v>
      </c>
      <c r="B228" s="83">
        <v>5.2610000000000001</v>
      </c>
      <c r="C228" s="83">
        <v>5.5119999999999996</v>
      </c>
      <c r="D228" s="83">
        <v>13.663</v>
      </c>
      <c r="E228" s="83">
        <v>8.8420000000000005</v>
      </c>
      <c r="F228" s="83">
        <v>1.1599999999999999</v>
      </c>
      <c r="G228" s="264">
        <v>22.695</v>
      </c>
      <c r="H228" s="83">
        <v>0</v>
      </c>
      <c r="I228" s="83">
        <v>0</v>
      </c>
      <c r="J228">
        <f t="shared" si="52"/>
        <v>57.132999999999996</v>
      </c>
      <c r="K228" s="252">
        <f t="shared" si="53"/>
        <v>22.505000000000003</v>
      </c>
      <c r="L228" s="267">
        <f t="shared" si="48"/>
        <v>3.3757500000000003E-2</v>
      </c>
      <c r="M228" s="267">
        <f t="shared" si="49"/>
        <v>1.61595E-2</v>
      </c>
      <c r="P228" s="400">
        <f>L228/(IF('Résultat - projection'!$B$209=1,'Clés de répartition'!D84,'Clés de répartition'!I84/0.15)*D168)</f>
        <v>6.6068686508360891E-6</v>
      </c>
      <c r="Q228" s="400">
        <f>M228/(IF('Résultat - projection'!$B$209=1,'Clés de répartition'!D84,'Clés de répartition'!I84/0.15)*D168)</f>
        <v>3.162665895376902E-6</v>
      </c>
    </row>
    <row r="229" spans="1:17" ht="17" thickBot="1">
      <c r="A229" s="597" t="s">
        <v>179</v>
      </c>
      <c r="B229" s="85">
        <v>12.321</v>
      </c>
      <c r="C229" s="85">
        <v>15.585000000000001</v>
      </c>
      <c r="D229" s="85">
        <v>11.2</v>
      </c>
      <c r="E229" s="85">
        <v>0.64200000000000002</v>
      </c>
      <c r="F229" s="85">
        <v>0</v>
      </c>
      <c r="G229" s="265">
        <v>5.9409999999999998</v>
      </c>
      <c r="H229" s="85">
        <v>0.442</v>
      </c>
      <c r="I229" s="85">
        <v>0</v>
      </c>
      <c r="J229" s="151">
        <f t="shared" si="52"/>
        <v>46.131</v>
      </c>
      <c r="K229" s="252">
        <f t="shared" si="53"/>
        <v>11.841999999999999</v>
      </c>
      <c r="L229" s="267">
        <f t="shared" si="48"/>
        <v>1.7762999999999998E-2</v>
      </c>
      <c r="M229" s="267">
        <f t="shared" si="49"/>
        <v>4.2521999999999997E-2</v>
      </c>
      <c r="P229" s="400">
        <f>L229/(IF('Résultat - projection'!$B$209=1,'Clés de répartition'!D85,'Clés de répartition'!I85/0.15)*D169)</f>
        <v>3.416886430839568E-6</v>
      </c>
      <c r="Q229" s="400">
        <f>M229/(IF('Résultat - projection'!$B$209=1,'Clés de répartition'!D85,'Clés de répartition'!I85/0.15)*D169)</f>
        <v>8.1795217481371455E-6</v>
      </c>
    </row>
    <row r="230" spans="1:17" ht="17" thickTop="1">
      <c r="P230" s="400"/>
      <c r="Q230" s="400"/>
    </row>
    <row r="231" spans="1:17">
      <c r="A231" s="333" t="s">
        <v>463</v>
      </c>
      <c r="B231" s="268"/>
    </row>
    <row r="232" spans="1:17">
      <c r="A232" s="333" t="s">
        <v>609</v>
      </c>
    </row>
    <row r="233" spans="1:17">
      <c r="A233" s="86" t="s">
        <v>180</v>
      </c>
      <c r="I233" s="3"/>
    </row>
    <row r="234" spans="1:17">
      <c r="A234" s="45" t="s">
        <v>68</v>
      </c>
      <c r="B234" s="83"/>
    </row>
    <row r="237" spans="1:17" ht="26">
      <c r="A237" s="332" t="s">
        <v>424</v>
      </c>
      <c r="B237" s="1" t="s">
        <v>425</v>
      </c>
      <c r="C237" s="1" t="s">
        <v>426</v>
      </c>
      <c r="E237" s="107" t="s">
        <v>427</v>
      </c>
      <c r="F237" t="s">
        <v>433</v>
      </c>
      <c r="G237" s="252" t="s">
        <v>434</v>
      </c>
      <c r="H237" t="s">
        <v>435</v>
      </c>
    </row>
    <row r="238" spans="1:17" ht="18">
      <c r="A238" s="19" t="s">
        <v>349</v>
      </c>
      <c r="B238" s="20">
        <f>SUM(B239:B253)</f>
        <v>5342.5468097108887</v>
      </c>
      <c r="C238" s="116">
        <f>B238*0.0035</f>
        <v>18.698913833988112</v>
      </c>
      <c r="E238" s="19" t="s">
        <v>428</v>
      </c>
      <c r="F238" s="250">
        <v>894</v>
      </c>
      <c r="G238" s="252">
        <v>41</v>
      </c>
      <c r="H238">
        <v>80</v>
      </c>
    </row>
    <row r="239" spans="1:17" ht="18">
      <c r="A239" s="63" t="s">
        <v>71</v>
      </c>
      <c r="B239" s="20">
        <v>42.039573794500001</v>
      </c>
      <c r="C239" s="116">
        <f t="shared" ref="C239:C273" si="54">B239*0.0035</f>
        <v>0.14713850828075001</v>
      </c>
      <c r="D239" s="63"/>
      <c r="E239" s="19" t="s">
        <v>429</v>
      </c>
      <c r="F239" s="250">
        <v>256</v>
      </c>
      <c r="G239" s="252">
        <v>62</v>
      </c>
      <c r="H239">
        <v>112</v>
      </c>
    </row>
    <row r="240" spans="1:17" ht="18">
      <c r="A240" s="63" t="s">
        <v>72</v>
      </c>
      <c r="B240" s="20">
        <v>91.068318274000006</v>
      </c>
      <c r="C240" s="116">
        <f t="shared" si="54"/>
        <v>0.31873911395900001</v>
      </c>
      <c r="D240" s="66"/>
      <c r="E240" s="19" t="s">
        <v>430</v>
      </c>
      <c r="F240" s="250">
        <v>837</v>
      </c>
      <c r="G240" s="252">
        <v>41</v>
      </c>
      <c r="H240">
        <v>80</v>
      </c>
    </row>
    <row r="241" spans="1:8" ht="18">
      <c r="A241" s="63" t="s">
        <v>73</v>
      </c>
      <c r="B241" s="20">
        <v>40.753145866799997</v>
      </c>
      <c r="C241" s="116">
        <f t="shared" si="54"/>
        <v>0.14263601053379998</v>
      </c>
      <c r="D241" s="66"/>
      <c r="E241" s="19" t="s">
        <v>431</v>
      </c>
      <c r="F241" s="250">
        <v>41</v>
      </c>
      <c r="G241" s="252">
        <v>41</v>
      </c>
      <c r="H241">
        <v>80</v>
      </c>
    </row>
    <row r="242" spans="1:8" ht="18">
      <c r="A242" s="63" t="s">
        <v>74</v>
      </c>
      <c r="B242" s="20">
        <v>111.43766376000001</v>
      </c>
      <c r="C242" s="116">
        <f t="shared" si="54"/>
        <v>0.39003182316000001</v>
      </c>
      <c r="D242" s="63"/>
      <c r="E242" s="19" t="s">
        <v>432</v>
      </c>
      <c r="F242" s="250">
        <v>16</v>
      </c>
      <c r="G242" s="252">
        <v>30</v>
      </c>
      <c r="H242">
        <v>55</v>
      </c>
    </row>
    <row r="243" spans="1:8">
      <c r="A243" s="63" t="s">
        <v>75</v>
      </c>
      <c r="B243" s="20">
        <v>238.46244954299999</v>
      </c>
      <c r="C243" s="116">
        <f t="shared" si="54"/>
        <v>0.83461857340049994</v>
      </c>
      <c r="D243" s="66"/>
      <c r="E243" s="19" t="s">
        <v>436</v>
      </c>
      <c r="G243" s="266">
        <f>(F238*G238+F239*G239+F240*G240+F241*G241+F242*G242)/(SUM(F238:F242))</f>
        <v>43.544031311154598</v>
      </c>
      <c r="H243" s="21">
        <f>(F238*H238+F239*H239+F240*H240+F241*H241+F242*H242)/(SUM(F238:F242))</f>
        <v>83.81213307240705</v>
      </c>
    </row>
    <row r="244" spans="1:8">
      <c r="A244" s="63" t="s">
        <v>76</v>
      </c>
      <c r="B244" s="20">
        <v>6.5564395320299997</v>
      </c>
      <c r="C244" s="116">
        <f t="shared" si="54"/>
        <v>2.2947538362104999E-2</v>
      </c>
      <c r="D244" s="66"/>
    </row>
    <row r="245" spans="1:8">
      <c r="A245" s="63" t="s">
        <v>77</v>
      </c>
      <c r="B245" s="20">
        <v>70.483291315200006</v>
      </c>
      <c r="C245" s="116">
        <f t="shared" si="54"/>
        <v>0.24669151960320002</v>
      </c>
      <c r="D245" s="66"/>
      <c r="E245" s="331" t="s">
        <v>608</v>
      </c>
    </row>
    <row r="246" spans="1:8">
      <c r="A246" s="63" t="s">
        <v>79</v>
      </c>
      <c r="B246" s="20">
        <f>SUM(B255:B273)</f>
        <v>4272.3846814844001</v>
      </c>
      <c r="C246" s="116">
        <f t="shared" si="54"/>
        <v>14.953346385195401</v>
      </c>
      <c r="D246" s="84"/>
      <c r="E246" s="246"/>
      <c r="F246" s="247"/>
    </row>
    <row r="247" spans="1:8">
      <c r="A247" s="63" t="s">
        <v>80</v>
      </c>
      <c r="B247" s="20">
        <v>63.549863887500003</v>
      </c>
      <c r="C247" s="116">
        <f t="shared" si="54"/>
        <v>0.22242452360625001</v>
      </c>
      <c r="D247" s="63"/>
    </row>
    <row r="248" spans="1:8">
      <c r="A248" s="63" t="s">
        <v>81</v>
      </c>
      <c r="B248" s="20">
        <v>18.368865512599999</v>
      </c>
      <c r="C248" s="116">
        <f t="shared" si="54"/>
        <v>6.4291029294099994E-2</v>
      </c>
      <c r="D248" s="63"/>
    </row>
    <row r="249" spans="1:8">
      <c r="A249" s="63" t="s">
        <v>78</v>
      </c>
      <c r="B249" s="20">
        <v>61.265561764099999</v>
      </c>
      <c r="C249" s="116">
        <f t="shared" si="54"/>
        <v>0.21442946617434999</v>
      </c>
      <c r="D249" s="63"/>
      <c r="E249" s="3" t="s">
        <v>920</v>
      </c>
    </row>
    <row r="250" spans="1:8">
      <c r="A250" s="63" t="s">
        <v>82</v>
      </c>
      <c r="B250" s="20">
        <v>232.08431060800001</v>
      </c>
      <c r="C250" s="116">
        <f t="shared" si="54"/>
        <v>0.81229508712800003</v>
      </c>
      <c r="D250" s="63"/>
      <c r="E250" t="s">
        <v>647</v>
      </c>
      <c r="F250" s="16">
        <v>0.56999999999999995</v>
      </c>
    </row>
    <row r="251" spans="1:8">
      <c r="A251" s="63" t="s">
        <v>83</v>
      </c>
      <c r="B251" s="20">
        <v>33.4470792993</v>
      </c>
      <c r="C251" s="116">
        <f t="shared" si="54"/>
        <v>0.11706477754755</v>
      </c>
      <c r="D251" s="63"/>
      <c r="E251" t="s">
        <v>648</v>
      </c>
      <c r="F251" s="16">
        <v>0.14000000000000001</v>
      </c>
    </row>
    <row r="252" spans="1:8">
      <c r="A252" s="63" t="s">
        <v>84</v>
      </c>
      <c r="B252" s="20">
        <v>0.58061586585900005</v>
      </c>
      <c r="C252" s="116">
        <f t="shared" si="54"/>
        <v>2.0321555305065002E-3</v>
      </c>
      <c r="D252" s="63"/>
      <c r="E252" t="s">
        <v>921</v>
      </c>
      <c r="F252" s="16">
        <v>0.21</v>
      </c>
    </row>
    <row r="253" spans="1:8">
      <c r="A253" s="63" t="s">
        <v>85</v>
      </c>
      <c r="B253" s="20">
        <v>60.064949203600001</v>
      </c>
      <c r="C253" s="116">
        <f t="shared" si="54"/>
        <v>0.21022732221260002</v>
      </c>
      <c r="D253" s="63"/>
      <c r="E253" t="s">
        <v>649</v>
      </c>
      <c r="F253" s="16">
        <v>7.0000000000000007E-2</v>
      </c>
    </row>
    <row r="254" spans="1:8">
      <c r="A254" s="107" t="s">
        <v>585</v>
      </c>
      <c r="B254" s="336"/>
      <c r="C254" s="336"/>
      <c r="D254" s="63"/>
      <c r="F254" s="16"/>
    </row>
    <row r="255" spans="1:8">
      <c r="A255" s="597" t="s">
        <v>154</v>
      </c>
      <c r="B255" s="20">
        <v>311.26164392099997</v>
      </c>
      <c r="C255" s="116">
        <f t="shared" si="54"/>
        <v>1.0894157537234999</v>
      </c>
      <c r="E255" t="s">
        <v>922</v>
      </c>
      <c r="F255" s="355">
        <f>F250+F251</f>
        <v>0.71</v>
      </c>
    </row>
    <row r="256" spans="1:8">
      <c r="A256" s="597" t="s">
        <v>155</v>
      </c>
      <c r="B256" s="20">
        <v>159.455862704</v>
      </c>
      <c r="C256" s="116">
        <f t="shared" si="54"/>
        <v>0.55809551946400004</v>
      </c>
    </row>
    <row r="257" spans="1:6">
      <c r="A257" s="597" t="s">
        <v>156</v>
      </c>
      <c r="B257" s="20">
        <v>274.916799895</v>
      </c>
      <c r="C257" s="116">
        <f t="shared" si="54"/>
        <v>0.96220879963250006</v>
      </c>
    </row>
    <row r="258" spans="1:6">
      <c r="A258" s="597" t="s">
        <v>403</v>
      </c>
      <c r="B258" s="20">
        <v>28.088386961400001</v>
      </c>
      <c r="C258" s="116">
        <f t="shared" si="54"/>
        <v>9.8309354364900001E-2</v>
      </c>
    </row>
    <row r="259" spans="1:6">
      <c r="A259" s="597" t="s">
        <v>168</v>
      </c>
      <c r="B259" s="20">
        <v>242.511725638</v>
      </c>
      <c r="C259" s="116">
        <f t="shared" si="54"/>
        <v>0.84879103973300007</v>
      </c>
      <c r="E259" s="23"/>
    </row>
    <row r="260" spans="1:6">
      <c r="A260" s="597" t="s">
        <v>167</v>
      </c>
      <c r="B260" s="20">
        <v>182.54552998599999</v>
      </c>
      <c r="C260" s="116">
        <f t="shared" si="54"/>
        <v>0.63890935495099999</v>
      </c>
      <c r="E260" s="356"/>
    </row>
    <row r="261" spans="1:6">
      <c r="A261" s="597" t="s">
        <v>170</v>
      </c>
      <c r="B261" s="20">
        <v>300.852327909</v>
      </c>
      <c r="C261" s="116">
        <f t="shared" si="54"/>
        <v>1.0529831476814999</v>
      </c>
    </row>
    <row r="262" spans="1:6">
      <c r="A262" s="597" t="s">
        <v>171</v>
      </c>
      <c r="B262" s="20">
        <v>162.62107530200001</v>
      </c>
      <c r="C262" s="116">
        <f t="shared" si="54"/>
        <v>0.569173763557</v>
      </c>
    </row>
    <row r="263" spans="1:6">
      <c r="A263" s="597" t="s">
        <v>172</v>
      </c>
      <c r="B263" s="20">
        <v>31.138472673999999</v>
      </c>
      <c r="C263" s="116">
        <f t="shared" si="54"/>
        <v>0.108984654359</v>
      </c>
      <c r="E263" s="63" t="s">
        <v>814</v>
      </c>
      <c r="F263" s="466">
        <v>0.28968120000000003</v>
      </c>
    </row>
    <row r="264" spans="1:6">
      <c r="A264" s="597" t="s">
        <v>173</v>
      </c>
      <c r="B264" s="20">
        <v>219.39423229400001</v>
      </c>
      <c r="C264" s="116">
        <f t="shared" si="54"/>
        <v>0.76787981302899999</v>
      </c>
      <c r="E264" s="63" t="s">
        <v>815</v>
      </c>
      <c r="F264" s="466">
        <v>0.1350673</v>
      </c>
    </row>
    <row r="265" spans="1:6">
      <c r="A265" s="597" t="s">
        <v>350</v>
      </c>
      <c r="B265" s="20">
        <v>156.754787677</v>
      </c>
      <c r="C265" s="116">
        <f t="shared" si="54"/>
        <v>0.54864175686950001</v>
      </c>
      <c r="E265" s="63" t="s">
        <v>810</v>
      </c>
      <c r="F265" s="466">
        <v>0.27331559999999999</v>
      </c>
    </row>
    <row r="266" spans="1:6">
      <c r="A266" s="597" t="s">
        <v>174</v>
      </c>
      <c r="B266" s="20">
        <v>360.27809907</v>
      </c>
      <c r="C266" s="116">
        <f t="shared" si="54"/>
        <v>1.2609733467449999</v>
      </c>
      <c r="E266" s="63" t="s">
        <v>811</v>
      </c>
      <c r="F266" s="466">
        <v>0.57504359999999999</v>
      </c>
    </row>
    <row r="267" spans="1:6">
      <c r="A267" s="597" t="s">
        <v>175</v>
      </c>
      <c r="B267" s="20">
        <v>209.06181803000001</v>
      </c>
      <c r="C267" s="116">
        <f t="shared" si="54"/>
        <v>0.7317163631050001</v>
      </c>
      <c r="E267" s="63" t="s">
        <v>812</v>
      </c>
      <c r="F267" s="466">
        <v>1.6573399999999999E-2</v>
      </c>
    </row>
    <row r="268" spans="1:6">
      <c r="A268" s="597" t="s">
        <v>176</v>
      </c>
      <c r="B268" s="20">
        <v>546.52044131399998</v>
      </c>
      <c r="C268" s="116">
        <f t="shared" si="54"/>
        <v>1.912821544599</v>
      </c>
    </row>
    <row r="269" spans="1:6">
      <c r="A269" s="597" t="s">
        <v>177</v>
      </c>
      <c r="B269" s="20">
        <v>112.354074439</v>
      </c>
      <c r="C269" s="116">
        <f t="shared" si="54"/>
        <v>0.39323926053649999</v>
      </c>
      <c r="E269" s="63" t="s">
        <v>816</v>
      </c>
      <c r="F269" s="16">
        <f>(F267+F266)/(F267+F266+F264)</f>
        <v>0.81413207908853957</v>
      </c>
    </row>
    <row r="270" spans="1:6">
      <c r="A270" s="597" t="s">
        <v>351</v>
      </c>
      <c r="B270" s="20">
        <v>271.79575881800002</v>
      </c>
      <c r="C270" s="116">
        <f t="shared" si="54"/>
        <v>0.95128515586300011</v>
      </c>
    </row>
    <row r="271" spans="1:6">
      <c r="A271" s="597" t="s">
        <v>856</v>
      </c>
      <c r="B271" s="20">
        <v>117.368934516</v>
      </c>
      <c r="C271" s="116">
        <f t="shared" si="54"/>
        <v>0.41079127080599998</v>
      </c>
    </row>
    <row r="272" spans="1:6">
      <c r="A272" s="597" t="s">
        <v>178</v>
      </c>
      <c r="B272" s="20">
        <v>363.40037080000002</v>
      </c>
      <c r="C272" s="116">
        <f t="shared" si="54"/>
        <v>1.2719012978000002</v>
      </c>
    </row>
    <row r="273" spans="1:12">
      <c r="A273" s="597" t="s">
        <v>179</v>
      </c>
      <c r="B273" s="20">
        <v>222.06433953600001</v>
      </c>
      <c r="C273" s="116">
        <f t="shared" si="54"/>
        <v>0.77722518837600008</v>
      </c>
    </row>
    <row r="275" spans="1:12" ht="119" customHeight="1">
      <c r="A275" s="691" t="s">
        <v>801</v>
      </c>
      <c r="B275" s="691"/>
      <c r="C275" s="691"/>
      <c r="D275" s="691"/>
      <c r="E275" s="691"/>
    </row>
    <row r="276" spans="1:12">
      <c r="A276" s="89" t="s">
        <v>68</v>
      </c>
    </row>
    <row r="277" spans="1:12">
      <c r="A277" s="62" t="s">
        <v>68</v>
      </c>
    </row>
    <row r="278" spans="1:12">
      <c r="A278" s="62" t="s">
        <v>68</v>
      </c>
    </row>
    <row r="279" spans="1:12" ht="81">
      <c r="A279" s="337" t="s">
        <v>610</v>
      </c>
    </row>
    <row r="280" spans="1:12">
      <c r="A280" s="19" t="s">
        <v>620</v>
      </c>
      <c r="B280" s="108" t="s">
        <v>621</v>
      </c>
      <c r="C280" s="108"/>
      <c r="D280" s="108" t="s">
        <v>144</v>
      </c>
      <c r="E280" s="108"/>
      <c r="F280" s="108" t="s">
        <v>622</v>
      </c>
      <c r="G280" s="108"/>
      <c r="H280" s="108" t="s">
        <v>624</v>
      </c>
      <c r="I280" s="108"/>
      <c r="J280" s="108" t="s">
        <v>623</v>
      </c>
      <c r="K280" s="108"/>
      <c r="L280" s="108" t="s">
        <v>40</v>
      </c>
    </row>
    <row r="281" spans="1:12">
      <c r="A281" s="19">
        <v>2017</v>
      </c>
      <c r="B281">
        <v>5053657</v>
      </c>
      <c r="C281" s="159">
        <f t="shared" ref="C281:C289" si="55">B281/$L281</f>
        <v>0.81143878792939006</v>
      </c>
      <c r="D281">
        <v>88106</v>
      </c>
      <c r="E281" s="159">
        <f t="shared" ref="E281:E289" si="56">D281/$L281</f>
        <v>1.4146711153785633E-2</v>
      </c>
      <c r="F281">
        <v>176614</v>
      </c>
      <c r="G281" s="159">
        <f t="shared" ref="G281:G289" si="57">F281/$L281</f>
        <v>2.8357969306456947E-2</v>
      </c>
      <c r="H281">
        <v>142081</v>
      </c>
      <c r="I281" s="159">
        <f t="shared" ref="I281:I289" si="58">H281/$L281</f>
        <v>2.2813189424568323E-2</v>
      </c>
      <c r="J281">
        <v>767562</v>
      </c>
      <c r="K281" s="159">
        <f t="shared" ref="K281:K289" si="59">J281/$L281</f>
        <v>0.12324334218579902</v>
      </c>
      <c r="L281">
        <v>6228020</v>
      </c>
    </row>
    <row r="282" spans="1:12">
      <c r="A282" s="19">
        <v>2018</v>
      </c>
      <c r="B282">
        <v>17225056</v>
      </c>
      <c r="C282" s="159">
        <f t="shared" si="55"/>
        <v>0.77903140999206633</v>
      </c>
      <c r="D282">
        <v>338395</v>
      </c>
      <c r="E282" s="159">
        <f t="shared" si="56"/>
        <v>1.5304468907634627E-2</v>
      </c>
      <c r="F282">
        <v>605090</v>
      </c>
      <c r="G282" s="159">
        <f t="shared" si="57"/>
        <v>2.7366187713531928E-2</v>
      </c>
      <c r="H282">
        <v>287589</v>
      </c>
      <c r="I282" s="159">
        <f t="shared" si="58"/>
        <v>1.3006684226060477E-2</v>
      </c>
      <c r="J282">
        <v>3653425</v>
      </c>
      <c r="K282" s="159">
        <f t="shared" si="59"/>
        <v>0.16523213794197622</v>
      </c>
      <c r="L282">
        <v>22110862</v>
      </c>
    </row>
    <row r="283" spans="1:12">
      <c r="A283" s="19">
        <v>2019</v>
      </c>
      <c r="B283">
        <v>14311072</v>
      </c>
      <c r="C283" s="159">
        <f t="shared" si="55"/>
        <v>0.80330706455921475</v>
      </c>
      <c r="D283">
        <v>238255</v>
      </c>
      <c r="E283" s="159">
        <f t="shared" si="56"/>
        <v>1.3373695881521364E-2</v>
      </c>
      <c r="F283">
        <v>450658</v>
      </c>
      <c r="G283" s="159">
        <f t="shared" si="57"/>
        <v>2.5296270964196576E-2</v>
      </c>
      <c r="H283">
        <v>230150</v>
      </c>
      <c r="I283" s="159">
        <f t="shared" si="58"/>
        <v>1.2918747170603522E-2</v>
      </c>
      <c r="J283">
        <v>2584343</v>
      </c>
      <c r="K283" s="159">
        <f t="shared" si="59"/>
        <v>0.14506397488211609</v>
      </c>
      <c r="L283">
        <v>17815195</v>
      </c>
    </row>
    <row r="284" spans="1:12">
      <c r="A284" s="19">
        <v>2020</v>
      </c>
      <c r="B284">
        <v>814468</v>
      </c>
      <c r="C284" s="159">
        <f t="shared" si="55"/>
        <v>0.81907365114036224</v>
      </c>
      <c r="D284">
        <v>17415</v>
      </c>
      <c r="E284" s="159">
        <f t="shared" si="56"/>
        <v>1.7513478288415762E-2</v>
      </c>
      <c r="F284">
        <v>22850</v>
      </c>
      <c r="G284" s="159">
        <f t="shared" si="57"/>
        <v>2.2979212109692802E-2</v>
      </c>
      <c r="H284">
        <v>36902</v>
      </c>
      <c r="I284" s="159">
        <f t="shared" si="58"/>
        <v>3.7110673316056185E-2</v>
      </c>
      <c r="J284">
        <v>102694</v>
      </c>
      <c r="K284" s="159">
        <f t="shared" si="59"/>
        <v>0.10327471371522069</v>
      </c>
      <c r="L284">
        <v>994377</v>
      </c>
    </row>
    <row r="285" spans="1:12">
      <c r="A285" s="19">
        <v>2021</v>
      </c>
      <c r="B285">
        <v>6388438</v>
      </c>
      <c r="C285" s="159">
        <f t="shared" si="55"/>
        <v>0.75823467344615869</v>
      </c>
      <c r="D285">
        <v>127827</v>
      </c>
      <c r="E285" s="159">
        <f t="shared" si="56"/>
        <v>1.5171605892176167E-2</v>
      </c>
      <c r="F285">
        <v>198381</v>
      </c>
      <c r="G285" s="159">
        <f t="shared" si="57"/>
        <v>2.3545560394093581E-2</v>
      </c>
      <c r="H285">
        <v>302057</v>
      </c>
      <c r="I285" s="159">
        <f t="shared" si="58"/>
        <v>3.5850718243978633E-2</v>
      </c>
      <c r="J285">
        <v>1408707</v>
      </c>
      <c r="K285" s="159">
        <f t="shared" si="59"/>
        <v>0.16719744202359291</v>
      </c>
      <c r="L285">
        <v>8425410</v>
      </c>
    </row>
    <row r="286" spans="1:12">
      <c r="A286" s="19">
        <v>2022</v>
      </c>
      <c r="B286">
        <v>2822623</v>
      </c>
      <c r="C286" s="159">
        <f t="shared" si="55"/>
        <v>0.78289065303964678</v>
      </c>
      <c r="D286">
        <v>53435</v>
      </c>
      <c r="E286" s="159">
        <f t="shared" si="56"/>
        <v>1.4820881869514111E-2</v>
      </c>
      <c r="F286">
        <v>113765</v>
      </c>
      <c r="G286" s="159">
        <f t="shared" si="57"/>
        <v>3.1554180329096522E-2</v>
      </c>
      <c r="H286">
        <v>103280</v>
      </c>
      <c r="I286" s="159">
        <f t="shared" si="58"/>
        <v>2.8646031243256615E-2</v>
      </c>
      <c r="J286">
        <v>512283</v>
      </c>
      <c r="K286" s="159">
        <f t="shared" si="59"/>
        <v>0.14208825351848595</v>
      </c>
      <c r="L286">
        <v>3605386</v>
      </c>
    </row>
    <row r="287" spans="1:12">
      <c r="A287" s="19">
        <v>2023</v>
      </c>
      <c r="B287">
        <v>2143740</v>
      </c>
      <c r="C287" s="159">
        <f t="shared" si="55"/>
        <v>0.77184331264633588</v>
      </c>
      <c r="D287">
        <v>47200</v>
      </c>
      <c r="E287" s="159">
        <f t="shared" si="56"/>
        <v>1.6994133783437847E-2</v>
      </c>
      <c r="F287">
        <v>62592</v>
      </c>
      <c r="G287" s="159">
        <f t="shared" si="57"/>
        <v>2.2535949613833511E-2</v>
      </c>
      <c r="H287">
        <v>80854</v>
      </c>
      <c r="I287" s="159">
        <f t="shared" si="58"/>
        <v>2.9111095189111945E-2</v>
      </c>
      <c r="J287">
        <v>443043</v>
      </c>
      <c r="K287" s="159">
        <f t="shared" si="59"/>
        <v>0.15951550876728082</v>
      </c>
      <c r="L287">
        <v>2777429</v>
      </c>
    </row>
    <row r="288" spans="1:12">
      <c r="A288" s="19">
        <v>2024</v>
      </c>
      <c r="B288">
        <v>43233</v>
      </c>
      <c r="C288" s="159">
        <f t="shared" si="55"/>
        <v>0.80181383185889943</v>
      </c>
      <c r="D288">
        <v>807</v>
      </c>
      <c r="E288" s="159">
        <f t="shared" si="56"/>
        <v>1.4966894786624382E-2</v>
      </c>
      <c r="F288">
        <v>790</v>
      </c>
      <c r="G288" s="159">
        <f t="shared" si="57"/>
        <v>1.4651607040189914E-2</v>
      </c>
      <c r="H288">
        <v>257</v>
      </c>
      <c r="I288" s="159">
        <f t="shared" si="58"/>
        <v>4.7664088725681113E-3</v>
      </c>
      <c r="J288">
        <v>8832</v>
      </c>
      <c r="K288" s="159">
        <f t="shared" si="59"/>
        <v>0.16380125744171814</v>
      </c>
      <c r="L288">
        <v>53919</v>
      </c>
    </row>
    <row r="289" spans="1:12">
      <c r="A289" s="19" t="s">
        <v>813</v>
      </c>
      <c r="B289">
        <f>SUM(B281:B287)</f>
        <v>48759054</v>
      </c>
      <c r="C289" s="159">
        <f t="shared" si="55"/>
        <v>0.78698624243562187</v>
      </c>
      <c r="D289">
        <f>SUM(D281:D287)</f>
        <v>910633</v>
      </c>
      <c r="E289" s="159">
        <f t="shared" si="56"/>
        <v>1.4697898833473628E-2</v>
      </c>
      <c r="F289">
        <f>SUM(F281:F287)</f>
        <v>1629950</v>
      </c>
      <c r="G289" s="384">
        <f t="shared" si="57"/>
        <v>2.6307898136373641E-2</v>
      </c>
      <c r="H289">
        <f>SUM(H281:H287)</f>
        <v>1182913</v>
      </c>
      <c r="I289" s="159">
        <f t="shared" si="58"/>
        <v>1.9092582415529406E-2</v>
      </c>
      <c r="J289">
        <f>SUM(J281:J287)</f>
        <v>9472057</v>
      </c>
      <c r="K289" s="159">
        <f t="shared" si="59"/>
        <v>0.15288193545686979</v>
      </c>
      <c r="L289">
        <f>SUM(L281:L287)</f>
        <v>61956679</v>
      </c>
    </row>
    <row r="290" spans="1:12">
      <c r="A290" s="19"/>
      <c r="C290" s="159"/>
      <c r="E290" s="159"/>
      <c r="G290" s="384"/>
      <c r="I290" s="159"/>
      <c r="K290" s="159"/>
    </row>
    <row r="291" spans="1:12">
      <c r="A291" s="19" t="s">
        <v>808</v>
      </c>
      <c r="B291" s="465">
        <v>0.60857539999999999</v>
      </c>
    </row>
    <row r="292" spans="1:12" ht="18" customHeight="1">
      <c r="A292" s="19" t="s">
        <v>809</v>
      </c>
      <c r="B292" s="465">
        <v>0.2046133</v>
      </c>
    </row>
    <row r="293" spans="1:12">
      <c r="A293" s="19" t="s">
        <v>810</v>
      </c>
      <c r="B293" s="465">
        <v>0.45062160000000001</v>
      </c>
    </row>
    <row r="294" spans="1:12">
      <c r="A294" s="19" t="s">
        <v>811</v>
      </c>
      <c r="B294" s="465">
        <v>0.30088520000000002</v>
      </c>
    </row>
    <row r="295" spans="1:12">
      <c r="A295" s="19" t="s">
        <v>812</v>
      </c>
      <c r="B295" s="465">
        <v>4.3879889999999998E-2</v>
      </c>
    </row>
    <row r="296" spans="1:12">
      <c r="A296" s="19"/>
      <c r="B296" s="465"/>
    </row>
    <row r="297" spans="1:12" ht="68" customHeight="1">
      <c r="A297" s="340" t="s">
        <v>625</v>
      </c>
      <c r="B297" s="159">
        <f>(B295+B294)/(B295+B294+B292)</f>
        <v>0.62755488070799437</v>
      </c>
      <c r="C297" s="696" t="s">
        <v>817</v>
      </c>
      <c r="D297" s="696"/>
      <c r="E297" s="696"/>
      <c r="F297" s="696"/>
      <c r="G297" s="696"/>
      <c r="J297" s="170"/>
    </row>
    <row r="298" spans="1:12">
      <c r="C298" s="114"/>
      <c r="D298" s="394"/>
      <c r="E298" s="159"/>
      <c r="F298" s="83"/>
    </row>
    <row r="299" spans="1:12">
      <c r="A299" s="159"/>
      <c r="B299" s="159">
        <f>G289</f>
        <v>2.6307898136373641E-2</v>
      </c>
      <c r="C299" s="159" t="s">
        <v>884</v>
      </c>
      <c r="D299" s="83"/>
      <c r="E299" s="83"/>
      <c r="F299" s="83"/>
    </row>
    <row r="300" spans="1:12">
      <c r="A300" s="45" t="s">
        <v>68</v>
      </c>
      <c r="B300" s="159"/>
      <c r="C300" s="159"/>
      <c r="D300" s="83"/>
      <c r="E300" s="83"/>
      <c r="F300" s="83"/>
    </row>
    <row r="307" spans="3:3">
      <c r="C307" s="464"/>
    </row>
    <row r="308" spans="3:3">
      <c r="C308" s="464"/>
    </row>
    <row r="309" spans="3:3">
      <c r="C309" s="464"/>
    </row>
    <row r="310" spans="3:3">
      <c r="C310" s="464"/>
    </row>
    <row r="311" spans="3:3">
      <c r="C311" s="464"/>
    </row>
  </sheetData>
  <mergeCells count="22">
    <mergeCell ref="G48:K48"/>
    <mergeCell ref="C297:G297"/>
    <mergeCell ref="AK5:AN5"/>
    <mergeCell ref="O5:P5"/>
    <mergeCell ref="U5:X5"/>
    <mergeCell ref="Y5:AB5"/>
    <mergeCell ref="K5:N5"/>
    <mergeCell ref="Q5:T5"/>
    <mergeCell ref="AC5:AF5"/>
    <mergeCell ref="AG5:AJ5"/>
    <mergeCell ref="G5:J5"/>
    <mergeCell ref="B91:E91"/>
    <mergeCell ref="F91:I91"/>
    <mergeCell ref="K91:N91"/>
    <mergeCell ref="O91:R91"/>
    <mergeCell ref="R48:U48"/>
    <mergeCell ref="A3:D3"/>
    <mergeCell ref="A91:A92"/>
    <mergeCell ref="A275:E275"/>
    <mergeCell ref="B5:E5"/>
    <mergeCell ref="B48:E48"/>
    <mergeCell ref="B45:F45"/>
  </mergeCells>
  <phoneticPr fontId="44" type="noConversion"/>
  <hyperlinks>
    <hyperlink ref="A46" r:id="rId1" xr:uid="{3E746EE9-D42A-0647-BE36-73864E1E9C26}"/>
    <hyperlink ref="A191" r:id="rId2" xr:uid="{C35522D8-7746-E44B-A5AA-38083FF875E1}"/>
    <hyperlink ref="A234" r:id="rId3" xr:uid="{1C803DF8-5B13-DD4D-9608-CCE5D1458338}"/>
    <hyperlink ref="A88" r:id="rId4" xr:uid="{AA9A655C-8071-4340-9631-220812162E6E}"/>
    <hyperlink ref="A174" r:id="rId5" xr:uid="{0F17A267-FDCC-7F4F-A67B-497FE137B048}"/>
    <hyperlink ref="A176" r:id="rId6" xr:uid="{BA8E70DD-7842-B64E-B99C-85C3B90283BA}"/>
    <hyperlink ref="A276" r:id="rId7" xr:uid="{BE2CB8B6-5B3B-124B-ADEE-316348F56B28}"/>
    <hyperlink ref="A277" r:id="rId8" xr:uid="{549F674A-5BC5-5C47-9FA3-6BAD8A969330}"/>
    <hyperlink ref="E245" r:id="rId9" xr:uid="{D860C59C-C3D7-2242-A2D8-B87A827EF060}"/>
    <hyperlink ref="A300" r:id="rId10" xr:uid="{241816F7-525F-F544-ACFB-789B102934EA}"/>
    <hyperlink ref="A278" r:id="rId11" xr:uid="{ED4954CD-FEDC-4148-9BE9-86AE4E05A08E}"/>
    <hyperlink ref="A1" location="'Table des matières'!A1" display="Retour à la Table des matières" xr:uid="{CE3C5834-3285-AB45-8E1A-8523DD1D289B}"/>
  </hyperlinks>
  <pageMargins left="0.7" right="0.7" top="0.75" bottom="0.75" header="0.3" footer="0.3"/>
  <pageSetup orientation="portrait" horizontalDpi="0" verticalDpi="0"/>
  <ignoredErrors>
    <ignoredError sqref="S43 R58:U58" formula="1"/>
  </ignoredErrors>
  <drawing r:id="rId1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1073DC-F635-F444-9852-1E077E89B5D4}">
  <sheetPr codeName="Sheet2"/>
  <dimension ref="A1:I127"/>
  <sheetViews>
    <sheetView workbookViewId="0"/>
  </sheetViews>
  <sheetFormatPr baseColWidth="10" defaultRowHeight="16"/>
  <cols>
    <col min="1" max="1" width="23.5" customWidth="1"/>
    <col min="2" max="2" width="39.33203125" customWidth="1"/>
    <col min="5" max="5" width="36.33203125" customWidth="1"/>
    <col min="12" max="12" width="19" customWidth="1"/>
  </cols>
  <sheetData>
    <row r="1" spans="1:2" ht="34">
      <c r="A1" s="483" t="s">
        <v>1</v>
      </c>
    </row>
    <row r="3" spans="1:2">
      <c r="A3" s="638" t="s">
        <v>8</v>
      </c>
      <c r="B3" s="436" t="s">
        <v>9</v>
      </c>
    </row>
    <row r="4" spans="1:2">
      <c r="A4" s="638"/>
      <c r="B4" s="436" t="s">
        <v>10</v>
      </c>
    </row>
    <row r="5" spans="1:2">
      <c r="A5" s="638"/>
      <c r="B5" s="436" t="s">
        <v>11</v>
      </c>
    </row>
    <row r="6" spans="1:2">
      <c r="A6" s="638"/>
      <c r="B6" s="436" t="s">
        <v>12</v>
      </c>
    </row>
    <row r="7" spans="1:2">
      <c r="A7" s="638"/>
      <c r="B7" s="436" t="s">
        <v>13</v>
      </c>
    </row>
    <row r="8" spans="1:2">
      <c r="A8" s="638"/>
      <c r="B8" s="436" t="s">
        <v>639</v>
      </c>
    </row>
    <row r="9" spans="1:2">
      <c r="A9" s="638"/>
      <c r="B9" s="436" t="s">
        <v>789</v>
      </c>
    </row>
    <row r="10" spans="1:2">
      <c r="A10" s="638" t="s">
        <v>2</v>
      </c>
      <c r="B10" s="436" t="s">
        <v>3</v>
      </c>
    </row>
    <row r="11" spans="1:2">
      <c r="A11" s="638"/>
      <c r="B11" s="436" t="s">
        <v>5</v>
      </c>
    </row>
    <row r="12" spans="1:2">
      <c r="A12" s="638"/>
      <c r="B12" s="436" t="s">
        <v>6</v>
      </c>
    </row>
    <row r="13" spans="1:2">
      <c r="A13" s="638"/>
      <c r="B13" s="436" t="s">
        <v>25</v>
      </c>
    </row>
    <row r="14" spans="1:2">
      <c r="A14" s="638"/>
      <c r="B14" s="436" t="s">
        <v>7</v>
      </c>
    </row>
    <row r="15" spans="1:2">
      <c r="A15" s="638" t="s">
        <v>14</v>
      </c>
      <c r="B15" s="436" t="s">
        <v>15</v>
      </c>
    </row>
    <row r="16" spans="1:2">
      <c r="A16" s="638"/>
      <c r="B16" s="436" t="s">
        <v>573</v>
      </c>
    </row>
    <row r="17" spans="1:9">
      <c r="A17" s="638"/>
      <c r="B17" s="436" t="s">
        <v>16</v>
      </c>
    </row>
    <row r="18" spans="1:9">
      <c r="A18" s="638"/>
      <c r="B18" s="436" t="s">
        <v>17</v>
      </c>
    </row>
    <row r="19" spans="1:9">
      <c r="A19" s="638" t="s">
        <v>18</v>
      </c>
      <c r="B19" s="436" t="s">
        <v>19</v>
      </c>
    </row>
    <row r="20" spans="1:9">
      <c r="A20" s="638"/>
      <c r="B20" s="436" t="s">
        <v>20</v>
      </c>
    </row>
    <row r="21" spans="1:9">
      <c r="A21" s="638"/>
      <c r="B21" s="436" t="s">
        <v>21</v>
      </c>
    </row>
    <row r="22" spans="1:9">
      <c r="A22" s="638"/>
      <c r="B22" s="436" t="s">
        <v>22</v>
      </c>
    </row>
    <row r="23" spans="1:9">
      <c r="A23" s="638"/>
      <c r="B23" s="436" t="s">
        <v>23</v>
      </c>
    </row>
    <row r="25" spans="1:9">
      <c r="A25" s="402"/>
      <c r="B25" s="402"/>
      <c r="C25" s="402"/>
      <c r="D25" s="402"/>
      <c r="E25" s="402"/>
      <c r="F25" s="402"/>
      <c r="G25" s="402"/>
      <c r="H25" s="402"/>
      <c r="I25" s="402"/>
    </row>
    <row r="26" spans="1:9">
      <c r="A26" s="402"/>
      <c r="B26" s="402"/>
      <c r="C26" s="402"/>
      <c r="D26" s="402"/>
      <c r="E26" s="402"/>
      <c r="F26" s="402"/>
      <c r="G26" s="402"/>
      <c r="H26" s="402"/>
      <c r="I26" s="402"/>
    </row>
    <row r="27" spans="1:9">
      <c r="A27" s="402" t="s">
        <v>410</v>
      </c>
      <c r="B27" s="402" t="s">
        <v>202</v>
      </c>
      <c r="C27" s="402"/>
      <c r="D27" s="402" t="s">
        <v>468</v>
      </c>
      <c r="E27" s="402" t="s">
        <v>569</v>
      </c>
      <c r="F27" s="402" t="s">
        <v>833</v>
      </c>
      <c r="G27" s="402"/>
      <c r="H27" s="402"/>
      <c r="I27" s="402"/>
    </row>
    <row r="28" spans="1:9">
      <c r="A28" s="402"/>
      <c r="B28" s="402" t="s">
        <v>71</v>
      </c>
      <c r="C28" s="402">
        <v>1</v>
      </c>
      <c r="D28" s="402" t="s">
        <v>469</v>
      </c>
      <c r="E28" s="402" t="s">
        <v>174</v>
      </c>
      <c r="F28" s="402">
        <f>_xlfn.XLOOKUP(E28,$B$28:$B$62,$C$28:$C$62,1)</f>
        <v>27</v>
      </c>
      <c r="G28" s="402"/>
      <c r="H28" s="402"/>
      <c r="I28" s="402"/>
    </row>
    <row r="29" spans="1:9">
      <c r="A29" s="402"/>
      <c r="B29" s="402" t="s">
        <v>72</v>
      </c>
      <c r="C29" s="402">
        <v>2</v>
      </c>
      <c r="D29" s="402" t="s">
        <v>470</v>
      </c>
      <c r="E29" s="402" t="s">
        <v>80</v>
      </c>
      <c r="F29" s="402">
        <f t="shared" ref="F29:F92" si="0">_xlfn.XLOOKUP(E29,$B$28:$B$62,$C$28:$C$62,1)</f>
        <v>9</v>
      </c>
      <c r="G29" s="402"/>
      <c r="H29" s="402"/>
      <c r="I29" s="402"/>
    </row>
    <row r="30" spans="1:9">
      <c r="A30" s="402"/>
      <c r="B30" s="402" t="s">
        <v>73</v>
      </c>
      <c r="C30" s="402">
        <v>3</v>
      </c>
      <c r="D30" s="402" t="s">
        <v>471</v>
      </c>
      <c r="E30" s="402" t="s">
        <v>174</v>
      </c>
      <c r="F30" s="402">
        <f t="shared" si="0"/>
        <v>27</v>
      </c>
      <c r="G30" s="402"/>
      <c r="H30" s="402"/>
      <c r="I30" s="402"/>
    </row>
    <row r="31" spans="1:9">
      <c r="A31" s="402"/>
      <c r="B31" s="402" t="s">
        <v>74</v>
      </c>
      <c r="C31" s="402">
        <v>4</v>
      </c>
      <c r="D31" s="402" t="s">
        <v>472</v>
      </c>
      <c r="E31" s="402" t="s">
        <v>174</v>
      </c>
      <c r="F31" s="402">
        <f t="shared" si="0"/>
        <v>27</v>
      </c>
      <c r="G31" s="402"/>
      <c r="H31" s="402"/>
      <c r="I31" s="402"/>
    </row>
    <row r="32" spans="1:9">
      <c r="A32" s="402"/>
      <c r="B32" s="402" t="s">
        <v>86</v>
      </c>
      <c r="C32" s="402">
        <v>5</v>
      </c>
      <c r="D32" s="402" t="s">
        <v>473</v>
      </c>
      <c r="E32" s="402" t="s">
        <v>171</v>
      </c>
      <c r="F32" s="402">
        <f t="shared" si="0"/>
        <v>23</v>
      </c>
      <c r="G32" s="402"/>
      <c r="H32" s="402"/>
      <c r="I32" s="402"/>
    </row>
    <row r="33" spans="1:9">
      <c r="A33" s="402"/>
      <c r="B33" s="402" t="s">
        <v>76</v>
      </c>
      <c r="C33" s="402">
        <v>6</v>
      </c>
      <c r="D33" s="402" t="s">
        <v>474</v>
      </c>
      <c r="E33" s="402" t="s">
        <v>171</v>
      </c>
      <c r="F33" s="402">
        <f t="shared" si="0"/>
        <v>23</v>
      </c>
      <c r="G33" s="402"/>
      <c r="H33" s="402"/>
      <c r="I33" s="402"/>
    </row>
    <row r="34" spans="1:9">
      <c r="A34" s="402"/>
      <c r="B34" s="402" t="s">
        <v>77</v>
      </c>
      <c r="C34" s="402">
        <v>7</v>
      </c>
      <c r="D34" s="402" t="s">
        <v>475</v>
      </c>
      <c r="E34" s="402" t="s">
        <v>155</v>
      </c>
      <c r="F34" s="402">
        <f t="shared" si="0"/>
        <v>17</v>
      </c>
      <c r="G34" s="402"/>
      <c r="H34" s="402"/>
      <c r="I34" s="402"/>
    </row>
    <row r="35" spans="1:9">
      <c r="A35" s="402"/>
      <c r="B35" s="402" t="s">
        <v>79</v>
      </c>
      <c r="C35" s="402">
        <v>8</v>
      </c>
      <c r="D35" s="402" t="s">
        <v>476</v>
      </c>
      <c r="E35" s="402" t="s">
        <v>155</v>
      </c>
      <c r="F35" s="402">
        <f t="shared" si="0"/>
        <v>17</v>
      </c>
      <c r="G35" s="402"/>
      <c r="H35" s="402"/>
      <c r="I35" s="402"/>
    </row>
    <row r="36" spans="1:9">
      <c r="A36" s="402"/>
      <c r="B36" s="402" t="s">
        <v>80</v>
      </c>
      <c r="C36" s="402">
        <v>9</v>
      </c>
      <c r="D36" s="402" t="s">
        <v>477</v>
      </c>
      <c r="E36" s="402" t="s">
        <v>170</v>
      </c>
      <c r="F36" s="402">
        <f t="shared" si="0"/>
        <v>22</v>
      </c>
      <c r="G36" s="402"/>
      <c r="H36" s="402"/>
      <c r="I36" s="402"/>
    </row>
    <row r="37" spans="1:9">
      <c r="A37" s="402"/>
      <c r="B37" s="402" t="s">
        <v>81</v>
      </c>
      <c r="C37" s="402">
        <v>10</v>
      </c>
      <c r="D37" s="402" t="s">
        <v>478</v>
      </c>
      <c r="E37" s="402" t="s">
        <v>170</v>
      </c>
      <c r="F37" s="402">
        <f t="shared" si="0"/>
        <v>22</v>
      </c>
      <c r="G37" s="402"/>
      <c r="H37" s="402"/>
      <c r="I37" s="402"/>
    </row>
    <row r="38" spans="1:9">
      <c r="A38" s="402"/>
      <c r="B38" s="402" t="s">
        <v>78</v>
      </c>
      <c r="C38" s="402">
        <v>11</v>
      </c>
      <c r="D38" s="402" t="s">
        <v>479</v>
      </c>
      <c r="E38" s="402" t="s">
        <v>170</v>
      </c>
      <c r="F38" s="402">
        <f t="shared" si="0"/>
        <v>22</v>
      </c>
      <c r="G38" s="402"/>
      <c r="H38" s="402"/>
      <c r="I38" s="402"/>
    </row>
    <row r="39" spans="1:9">
      <c r="A39" s="402"/>
      <c r="B39" s="402" t="s">
        <v>82</v>
      </c>
      <c r="C39" s="402">
        <v>12</v>
      </c>
      <c r="D39" s="402" t="s">
        <v>480</v>
      </c>
      <c r="E39" s="402" t="s">
        <v>177</v>
      </c>
      <c r="F39" s="402">
        <f t="shared" si="0"/>
        <v>30</v>
      </c>
      <c r="G39" s="402"/>
      <c r="H39" s="402"/>
      <c r="I39" s="402"/>
    </row>
    <row r="40" spans="1:9">
      <c r="A40" s="402"/>
      <c r="B40" s="402" t="s">
        <v>83</v>
      </c>
      <c r="C40" s="402">
        <v>13</v>
      </c>
      <c r="D40" s="402" t="s">
        <v>481</v>
      </c>
      <c r="E40" s="402" t="s">
        <v>177</v>
      </c>
      <c r="F40" s="402">
        <f t="shared" si="0"/>
        <v>30</v>
      </c>
      <c r="G40" s="402"/>
      <c r="H40" s="402"/>
      <c r="I40" s="402"/>
    </row>
    <row r="41" spans="1:9">
      <c r="A41" s="402"/>
      <c r="B41" s="402" t="s">
        <v>84</v>
      </c>
      <c r="C41" s="402">
        <v>14</v>
      </c>
      <c r="D41" s="402" t="s">
        <v>482</v>
      </c>
      <c r="E41" s="402" t="s">
        <v>177</v>
      </c>
      <c r="F41" s="402">
        <f t="shared" si="0"/>
        <v>30</v>
      </c>
      <c r="G41" s="402"/>
      <c r="H41" s="402"/>
      <c r="I41" s="402"/>
    </row>
    <row r="42" spans="1:9">
      <c r="A42" s="402"/>
      <c r="B42" s="402" t="s">
        <v>85</v>
      </c>
      <c r="C42" s="402">
        <v>15</v>
      </c>
      <c r="D42" s="402" t="s">
        <v>483</v>
      </c>
      <c r="E42" s="402" t="s">
        <v>175</v>
      </c>
      <c r="F42" s="402">
        <f t="shared" si="0"/>
        <v>28</v>
      </c>
      <c r="G42" s="402"/>
      <c r="H42" s="402"/>
      <c r="I42" s="402"/>
    </row>
    <row r="43" spans="1:9">
      <c r="A43" s="402" t="s">
        <v>409</v>
      </c>
      <c r="B43" s="402" t="s">
        <v>411</v>
      </c>
      <c r="C43" s="402"/>
      <c r="D43" s="402" t="s">
        <v>484</v>
      </c>
      <c r="E43" s="402" t="s">
        <v>170</v>
      </c>
      <c r="F43" s="402">
        <f t="shared" si="0"/>
        <v>22</v>
      </c>
      <c r="G43" s="402"/>
      <c r="H43" s="402"/>
      <c r="I43" s="402"/>
    </row>
    <row r="44" spans="1:9">
      <c r="A44" s="402"/>
      <c r="B44" s="402" t="s">
        <v>154</v>
      </c>
      <c r="C44" s="402">
        <v>16</v>
      </c>
      <c r="D44" s="402" t="s">
        <v>485</v>
      </c>
      <c r="E44" s="402" t="s">
        <v>170</v>
      </c>
      <c r="F44" s="402">
        <f t="shared" si="0"/>
        <v>22</v>
      </c>
      <c r="G44" s="402"/>
      <c r="H44" s="402"/>
      <c r="I44" s="402"/>
    </row>
    <row r="45" spans="1:9">
      <c r="A45" s="402"/>
      <c r="B45" s="402" t="s">
        <v>155</v>
      </c>
      <c r="C45" s="402">
        <v>17</v>
      </c>
      <c r="D45" s="402" t="s">
        <v>486</v>
      </c>
      <c r="E45" s="402" t="s">
        <v>175</v>
      </c>
      <c r="F45" s="402">
        <f t="shared" si="0"/>
        <v>28</v>
      </c>
      <c r="G45" s="402"/>
      <c r="H45" s="402"/>
      <c r="I45" s="402"/>
    </row>
    <row r="46" spans="1:9">
      <c r="A46" s="402"/>
      <c r="B46" s="402" t="s">
        <v>156</v>
      </c>
      <c r="C46" s="402">
        <v>18</v>
      </c>
      <c r="D46" s="402" t="s">
        <v>487</v>
      </c>
      <c r="E46" s="402" t="s">
        <v>175</v>
      </c>
      <c r="F46" s="402">
        <f t="shared" si="0"/>
        <v>28</v>
      </c>
      <c r="G46" s="402"/>
      <c r="H46" s="402"/>
      <c r="I46" s="402"/>
    </row>
    <row r="47" spans="1:9">
      <c r="A47" s="402"/>
      <c r="B47" s="402" t="s">
        <v>403</v>
      </c>
      <c r="C47" s="402">
        <v>19</v>
      </c>
      <c r="D47" s="402" t="s">
        <v>488</v>
      </c>
      <c r="E47" s="402" t="s">
        <v>179</v>
      </c>
      <c r="F47" s="402">
        <f t="shared" si="0"/>
        <v>34</v>
      </c>
      <c r="G47" s="402"/>
      <c r="H47" s="402"/>
      <c r="I47" s="402"/>
    </row>
    <row r="48" spans="1:9">
      <c r="A48" s="402"/>
      <c r="B48" s="402" t="s">
        <v>168</v>
      </c>
      <c r="C48" s="402">
        <v>20</v>
      </c>
      <c r="D48" s="402" t="s">
        <v>489</v>
      </c>
      <c r="E48" s="402" t="s">
        <v>179</v>
      </c>
      <c r="F48" s="402">
        <f t="shared" si="0"/>
        <v>34</v>
      </c>
      <c r="G48" s="402"/>
      <c r="H48" s="402"/>
      <c r="I48" s="402"/>
    </row>
    <row r="49" spans="1:9">
      <c r="A49" s="402"/>
      <c r="B49" s="402" t="s">
        <v>167</v>
      </c>
      <c r="C49" s="402">
        <v>21</v>
      </c>
      <c r="D49" s="402" t="s">
        <v>490</v>
      </c>
      <c r="E49" s="402" t="s">
        <v>154</v>
      </c>
      <c r="F49" s="402">
        <f t="shared" si="0"/>
        <v>16</v>
      </c>
      <c r="G49" s="402"/>
      <c r="H49" s="402"/>
      <c r="I49" s="402"/>
    </row>
    <row r="50" spans="1:9">
      <c r="A50" s="402"/>
      <c r="B50" s="402" t="s">
        <v>170</v>
      </c>
      <c r="C50" s="402">
        <v>22</v>
      </c>
      <c r="D50" s="402" t="s">
        <v>491</v>
      </c>
      <c r="E50" s="402" t="s">
        <v>154</v>
      </c>
      <c r="F50" s="402">
        <f t="shared" si="0"/>
        <v>16</v>
      </c>
      <c r="G50" s="402"/>
      <c r="H50" s="402"/>
      <c r="I50" s="402"/>
    </row>
    <row r="51" spans="1:9">
      <c r="A51" s="402"/>
      <c r="B51" s="402" t="s">
        <v>171</v>
      </c>
      <c r="C51" s="402">
        <v>23</v>
      </c>
      <c r="D51" s="402" t="s">
        <v>492</v>
      </c>
      <c r="E51" s="402" t="s">
        <v>179</v>
      </c>
      <c r="F51" s="402">
        <f t="shared" si="0"/>
        <v>34</v>
      </c>
      <c r="G51" s="402"/>
      <c r="H51" s="402"/>
      <c r="I51" s="402"/>
    </row>
    <row r="52" spans="1:9">
      <c r="A52" s="402"/>
      <c r="B52" s="402" t="s">
        <v>172</v>
      </c>
      <c r="C52" s="402">
        <v>24</v>
      </c>
      <c r="D52" s="402" t="s">
        <v>493</v>
      </c>
      <c r="E52" s="402" t="s">
        <v>175</v>
      </c>
      <c r="F52" s="402">
        <f t="shared" si="0"/>
        <v>28</v>
      </c>
      <c r="G52" s="402"/>
      <c r="H52" s="402"/>
      <c r="I52" s="402"/>
    </row>
    <row r="53" spans="1:9">
      <c r="A53" s="402"/>
      <c r="B53" s="402" t="s">
        <v>173</v>
      </c>
      <c r="C53" s="402">
        <v>25</v>
      </c>
      <c r="D53" s="402" t="s">
        <v>494</v>
      </c>
      <c r="E53" s="402" t="s">
        <v>350</v>
      </c>
      <c r="F53" s="402">
        <f t="shared" si="0"/>
        <v>26</v>
      </c>
      <c r="G53" s="402"/>
      <c r="H53" s="402"/>
      <c r="I53" s="402"/>
    </row>
    <row r="54" spans="1:9">
      <c r="A54" s="402"/>
      <c r="B54" s="402" t="s">
        <v>350</v>
      </c>
      <c r="C54" s="402">
        <v>26</v>
      </c>
      <c r="D54" s="402" t="s">
        <v>495</v>
      </c>
      <c r="E54" s="402" t="s">
        <v>350</v>
      </c>
      <c r="F54" s="402">
        <f t="shared" si="0"/>
        <v>26</v>
      </c>
      <c r="G54" s="402"/>
      <c r="H54" s="402"/>
      <c r="I54" s="402"/>
    </row>
    <row r="55" spans="1:9">
      <c r="A55" s="402"/>
      <c r="B55" s="402" t="s">
        <v>174</v>
      </c>
      <c r="C55" s="402">
        <v>27</v>
      </c>
      <c r="D55" s="402" t="s">
        <v>496</v>
      </c>
      <c r="E55" s="402" t="s">
        <v>178</v>
      </c>
      <c r="F55" s="402">
        <f t="shared" si="0"/>
        <v>33</v>
      </c>
      <c r="G55" s="402"/>
      <c r="H55" s="402"/>
      <c r="I55" s="402"/>
    </row>
    <row r="56" spans="1:9">
      <c r="A56" s="402"/>
      <c r="B56" s="402" t="s">
        <v>175</v>
      </c>
      <c r="C56" s="402">
        <v>28</v>
      </c>
      <c r="D56" s="402" t="s">
        <v>497</v>
      </c>
      <c r="E56" s="402" t="s">
        <v>178</v>
      </c>
      <c r="F56" s="402">
        <f t="shared" si="0"/>
        <v>33</v>
      </c>
      <c r="G56" s="402"/>
      <c r="H56" s="402"/>
      <c r="I56" s="402"/>
    </row>
    <row r="57" spans="1:9">
      <c r="A57" s="402"/>
      <c r="B57" s="402" t="s">
        <v>176</v>
      </c>
      <c r="C57" s="402">
        <v>29</v>
      </c>
      <c r="D57" s="402" t="s">
        <v>498</v>
      </c>
      <c r="E57" s="402" t="s">
        <v>154</v>
      </c>
      <c r="F57" s="402">
        <f t="shared" si="0"/>
        <v>16</v>
      </c>
      <c r="G57" s="402"/>
      <c r="H57" s="402"/>
      <c r="I57" s="402"/>
    </row>
    <row r="58" spans="1:9">
      <c r="A58" s="402"/>
      <c r="B58" s="402" t="s">
        <v>177</v>
      </c>
      <c r="C58" s="402">
        <v>30</v>
      </c>
      <c r="D58" s="402" t="s">
        <v>499</v>
      </c>
      <c r="E58" s="402" t="s">
        <v>154</v>
      </c>
      <c r="F58" s="402">
        <f t="shared" si="0"/>
        <v>16</v>
      </c>
      <c r="G58" s="402"/>
      <c r="H58" s="402"/>
      <c r="I58" s="402"/>
    </row>
    <row r="59" spans="1:9">
      <c r="A59" s="402"/>
      <c r="B59" s="402" t="s">
        <v>351</v>
      </c>
      <c r="C59" s="402">
        <v>31</v>
      </c>
      <c r="D59" s="402" t="s">
        <v>500</v>
      </c>
      <c r="E59" s="402" t="s">
        <v>179</v>
      </c>
      <c r="F59" s="402">
        <f t="shared" si="0"/>
        <v>34</v>
      </c>
      <c r="G59" s="402"/>
      <c r="H59" s="402"/>
      <c r="I59" s="402"/>
    </row>
    <row r="60" spans="1:9">
      <c r="A60" s="402"/>
      <c r="B60" s="402" t="s">
        <v>856</v>
      </c>
      <c r="C60" s="402">
        <v>32</v>
      </c>
      <c r="D60" s="402" t="s">
        <v>501</v>
      </c>
      <c r="E60" s="402" t="s">
        <v>179</v>
      </c>
      <c r="F60" s="402">
        <f t="shared" si="0"/>
        <v>34</v>
      </c>
      <c r="G60" s="402"/>
      <c r="H60" s="402"/>
      <c r="I60" s="402"/>
    </row>
    <row r="61" spans="1:9">
      <c r="A61" s="402"/>
      <c r="B61" s="402" t="s">
        <v>178</v>
      </c>
      <c r="C61" s="402">
        <v>33</v>
      </c>
      <c r="D61" s="402" t="s">
        <v>502</v>
      </c>
      <c r="E61" s="402" t="s">
        <v>175</v>
      </c>
      <c r="F61" s="402">
        <f t="shared" si="0"/>
        <v>28</v>
      </c>
      <c r="G61" s="402"/>
      <c r="H61" s="402"/>
      <c r="I61" s="402"/>
    </row>
    <row r="62" spans="1:9">
      <c r="A62" s="402"/>
      <c r="B62" s="402" t="s">
        <v>179</v>
      </c>
      <c r="C62" s="402">
        <v>34</v>
      </c>
      <c r="D62" s="402" t="s">
        <v>503</v>
      </c>
      <c r="E62" s="402" t="s">
        <v>350</v>
      </c>
      <c r="F62" s="402">
        <f t="shared" si="0"/>
        <v>26</v>
      </c>
      <c r="G62" s="402"/>
      <c r="H62" s="402"/>
      <c r="I62" s="402"/>
    </row>
    <row r="63" spans="1:9">
      <c r="A63" s="402"/>
      <c r="B63" s="402"/>
      <c r="C63" s="402"/>
      <c r="D63" s="402" t="s">
        <v>504</v>
      </c>
      <c r="E63" s="402" t="s">
        <v>172</v>
      </c>
      <c r="F63" s="402">
        <f t="shared" si="0"/>
        <v>24</v>
      </c>
      <c r="G63" s="402"/>
      <c r="H63" s="402"/>
      <c r="I63" s="402"/>
    </row>
    <row r="64" spans="1:9">
      <c r="A64" s="402"/>
      <c r="B64" s="402"/>
      <c r="C64" s="402"/>
      <c r="D64" s="402" t="s">
        <v>505</v>
      </c>
      <c r="E64" s="402" t="s">
        <v>350</v>
      </c>
      <c r="F64" s="402">
        <f t="shared" si="0"/>
        <v>26</v>
      </c>
      <c r="G64" s="402"/>
      <c r="H64" s="402"/>
      <c r="I64" s="402"/>
    </row>
    <row r="65" spans="1:9">
      <c r="A65" s="402"/>
      <c r="B65" s="402"/>
      <c r="C65" s="402"/>
      <c r="D65" s="402" t="s">
        <v>506</v>
      </c>
      <c r="E65" s="402" t="s">
        <v>350</v>
      </c>
      <c r="F65" s="402">
        <f t="shared" si="0"/>
        <v>26</v>
      </c>
      <c r="G65" s="402"/>
      <c r="H65" s="402"/>
      <c r="I65" s="402"/>
    </row>
    <row r="66" spans="1:9">
      <c r="A66" s="402"/>
      <c r="B66" s="402"/>
      <c r="C66" s="402"/>
      <c r="D66" s="402" t="s">
        <v>507</v>
      </c>
      <c r="E66" s="402" t="s">
        <v>178</v>
      </c>
      <c r="F66" s="402">
        <f t="shared" si="0"/>
        <v>33</v>
      </c>
      <c r="G66" s="402"/>
      <c r="H66" s="402"/>
      <c r="I66" s="402"/>
    </row>
    <row r="67" spans="1:9">
      <c r="A67" s="402"/>
      <c r="B67" s="402"/>
      <c r="C67" s="402"/>
      <c r="D67" s="402" t="s">
        <v>508</v>
      </c>
      <c r="E67" s="402" t="s">
        <v>178</v>
      </c>
      <c r="F67" s="402">
        <f t="shared" si="0"/>
        <v>33</v>
      </c>
      <c r="G67" s="402"/>
      <c r="H67" s="402"/>
      <c r="I67" s="402"/>
    </row>
    <row r="68" spans="1:9">
      <c r="A68" s="402"/>
      <c r="B68" s="402"/>
      <c r="C68" s="402"/>
      <c r="D68" s="402" t="s">
        <v>509</v>
      </c>
      <c r="E68" s="402" t="s">
        <v>178</v>
      </c>
      <c r="F68" s="402">
        <f t="shared" si="0"/>
        <v>33</v>
      </c>
      <c r="G68" s="402"/>
      <c r="H68" s="402"/>
      <c r="I68" s="402"/>
    </row>
    <row r="69" spans="1:9">
      <c r="A69" s="402"/>
      <c r="B69" s="402"/>
      <c r="C69" s="402"/>
      <c r="D69" s="402" t="s">
        <v>510</v>
      </c>
      <c r="E69" s="402" t="s">
        <v>178</v>
      </c>
      <c r="F69" s="402">
        <f t="shared" si="0"/>
        <v>33</v>
      </c>
      <c r="G69" s="402"/>
      <c r="H69" s="402"/>
      <c r="I69" s="402"/>
    </row>
    <row r="70" spans="1:9">
      <c r="A70" s="402"/>
      <c r="B70" s="402"/>
      <c r="C70" s="402"/>
      <c r="D70" s="402" t="s">
        <v>511</v>
      </c>
      <c r="E70" s="402" t="s">
        <v>351</v>
      </c>
      <c r="F70" s="402">
        <f t="shared" si="0"/>
        <v>31</v>
      </c>
      <c r="G70" s="402"/>
      <c r="H70" s="402"/>
      <c r="I70" s="402"/>
    </row>
    <row r="71" spans="1:9">
      <c r="A71" s="402"/>
      <c r="B71" s="402"/>
      <c r="C71" s="402"/>
      <c r="D71" s="402" t="s">
        <v>512</v>
      </c>
      <c r="E71" s="402" t="s">
        <v>856</v>
      </c>
      <c r="F71" s="402">
        <f t="shared" si="0"/>
        <v>32</v>
      </c>
      <c r="G71" s="402"/>
      <c r="H71" s="402"/>
      <c r="I71" s="402"/>
    </row>
    <row r="72" spans="1:9">
      <c r="A72" s="402"/>
      <c r="B72" s="402"/>
      <c r="C72" s="402"/>
      <c r="D72" s="402" t="s">
        <v>513</v>
      </c>
      <c r="E72" s="402" t="s">
        <v>178</v>
      </c>
      <c r="F72" s="402">
        <f t="shared" si="0"/>
        <v>33</v>
      </c>
      <c r="G72" s="402"/>
      <c r="H72" s="402"/>
      <c r="I72" s="402"/>
    </row>
    <row r="73" spans="1:9">
      <c r="A73" s="402"/>
      <c r="B73" s="402"/>
      <c r="C73" s="402"/>
      <c r="D73" s="402" t="s">
        <v>514</v>
      </c>
      <c r="E73" s="402" t="s">
        <v>178</v>
      </c>
      <c r="F73" s="402">
        <f t="shared" si="0"/>
        <v>33</v>
      </c>
      <c r="G73" s="402"/>
      <c r="H73" s="402"/>
      <c r="I73" s="402"/>
    </row>
    <row r="74" spans="1:9">
      <c r="A74" s="402"/>
      <c r="B74" s="402"/>
      <c r="C74" s="402"/>
      <c r="D74" s="402" t="s">
        <v>515</v>
      </c>
      <c r="E74" s="402" t="s">
        <v>351</v>
      </c>
      <c r="F74" s="402">
        <f t="shared" si="0"/>
        <v>31</v>
      </c>
      <c r="G74" s="402"/>
      <c r="H74" s="402"/>
      <c r="I74" s="402"/>
    </row>
    <row r="75" spans="1:9">
      <c r="A75" s="402"/>
      <c r="B75" s="402"/>
      <c r="C75" s="402"/>
      <c r="D75" s="402" t="s">
        <v>516</v>
      </c>
      <c r="E75" s="402" t="s">
        <v>351</v>
      </c>
      <c r="F75" s="402">
        <f t="shared" si="0"/>
        <v>31</v>
      </c>
      <c r="G75" s="402"/>
      <c r="H75" s="402"/>
      <c r="I75" s="402"/>
    </row>
    <row r="76" spans="1:9">
      <c r="A76" s="402"/>
      <c r="B76" s="402"/>
      <c r="C76" s="402"/>
      <c r="D76" s="402" t="s">
        <v>517</v>
      </c>
      <c r="E76" s="402" t="s">
        <v>154</v>
      </c>
      <c r="F76" s="402">
        <f t="shared" si="0"/>
        <v>16</v>
      </c>
      <c r="G76" s="402"/>
      <c r="H76" s="402"/>
      <c r="I76" s="402"/>
    </row>
    <row r="77" spans="1:9">
      <c r="A77" s="402"/>
      <c r="B77" s="402"/>
      <c r="C77" s="402"/>
      <c r="D77" s="402" t="s">
        <v>518</v>
      </c>
      <c r="E77" s="402" t="s">
        <v>154</v>
      </c>
      <c r="F77" s="402">
        <f t="shared" si="0"/>
        <v>16</v>
      </c>
      <c r="G77" s="402"/>
      <c r="H77" s="402"/>
      <c r="I77" s="402"/>
    </row>
    <row r="78" spans="1:9">
      <c r="A78" s="402"/>
      <c r="B78" s="402"/>
      <c r="C78" s="402"/>
      <c r="D78" s="402" t="s">
        <v>519</v>
      </c>
      <c r="E78" s="402" t="s">
        <v>179</v>
      </c>
      <c r="F78" s="402">
        <f t="shared" si="0"/>
        <v>34</v>
      </c>
      <c r="G78" s="402"/>
      <c r="H78" s="402"/>
      <c r="I78" s="402"/>
    </row>
    <row r="79" spans="1:9">
      <c r="A79" s="402"/>
      <c r="B79" s="402"/>
      <c r="C79" s="402"/>
      <c r="D79" s="402" t="s">
        <v>520</v>
      </c>
      <c r="E79" s="402" t="s">
        <v>78</v>
      </c>
      <c r="F79" s="402">
        <f t="shared" si="0"/>
        <v>11</v>
      </c>
      <c r="G79" s="402"/>
      <c r="H79" s="402"/>
      <c r="I79" s="402"/>
    </row>
    <row r="80" spans="1:9">
      <c r="A80" s="402"/>
      <c r="B80" s="402"/>
      <c r="C80" s="402"/>
      <c r="D80" s="402" t="s">
        <v>521</v>
      </c>
      <c r="E80" s="402" t="s">
        <v>78</v>
      </c>
      <c r="F80" s="402">
        <f t="shared" si="0"/>
        <v>11</v>
      </c>
      <c r="G80" s="402"/>
      <c r="H80" s="402"/>
      <c r="I80" s="402"/>
    </row>
    <row r="81" spans="1:9">
      <c r="A81" s="402"/>
      <c r="B81" s="402"/>
      <c r="C81" s="402"/>
      <c r="D81" s="402" t="s">
        <v>522</v>
      </c>
      <c r="E81" s="402" t="s">
        <v>156</v>
      </c>
      <c r="F81" s="402">
        <f t="shared" si="0"/>
        <v>18</v>
      </c>
      <c r="G81" s="402"/>
      <c r="H81" s="402"/>
      <c r="I81" s="402"/>
    </row>
    <row r="82" spans="1:9">
      <c r="A82" s="402"/>
      <c r="B82" s="402"/>
      <c r="C82" s="402"/>
      <c r="D82" s="402" t="s">
        <v>523</v>
      </c>
      <c r="E82" s="402" t="s">
        <v>156</v>
      </c>
      <c r="F82" s="402">
        <f t="shared" si="0"/>
        <v>18</v>
      </c>
      <c r="G82" s="402"/>
      <c r="H82" s="402"/>
      <c r="I82" s="402"/>
    </row>
    <row r="83" spans="1:9">
      <c r="A83" s="402"/>
      <c r="B83" s="402"/>
      <c r="C83" s="402"/>
      <c r="D83" s="402" t="s">
        <v>524</v>
      </c>
      <c r="E83" s="402" t="s">
        <v>156</v>
      </c>
      <c r="F83" s="402">
        <f t="shared" si="0"/>
        <v>18</v>
      </c>
      <c r="G83" s="402"/>
      <c r="H83" s="402"/>
      <c r="I83" s="402"/>
    </row>
    <row r="84" spans="1:9">
      <c r="A84" s="402"/>
      <c r="B84" s="402"/>
      <c r="C84" s="402"/>
      <c r="D84" s="402" t="s">
        <v>525</v>
      </c>
      <c r="E84" s="402" t="s">
        <v>156</v>
      </c>
      <c r="F84" s="402">
        <f t="shared" si="0"/>
        <v>18</v>
      </c>
      <c r="G84" s="402"/>
      <c r="H84" s="402"/>
      <c r="I84" s="402"/>
    </row>
    <row r="85" spans="1:9">
      <c r="A85" s="402"/>
      <c r="B85" s="402"/>
      <c r="C85" s="402"/>
      <c r="D85" s="402" t="s">
        <v>526</v>
      </c>
      <c r="E85" s="402" t="s">
        <v>76</v>
      </c>
      <c r="F85" s="402">
        <f t="shared" si="0"/>
        <v>6</v>
      </c>
      <c r="G85" s="402"/>
      <c r="H85" s="402"/>
      <c r="I85" s="402"/>
    </row>
    <row r="86" spans="1:9">
      <c r="A86" s="402"/>
      <c r="B86" s="402"/>
      <c r="C86" s="402"/>
      <c r="D86" s="402" t="s">
        <v>527</v>
      </c>
      <c r="E86" s="402" t="s">
        <v>85</v>
      </c>
      <c r="F86" s="402">
        <f t="shared" si="0"/>
        <v>15</v>
      </c>
      <c r="G86" s="402"/>
      <c r="H86" s="402"/>
      <c r="I86" s="402"/>
    </row>
    <row r="87" spans="1:9">
      <c r="A87" s="402"/>
      <c r="B87" s="402"/>
      <c r="C87" s="402"/>
      <c r="D87" s="402" t="s">
        <v>528</v>
      </c>
      <c r="E87" s="402" t="s">
        <v>85</v>
      </c>
      <c r="F87" s="402">
        <f t="shared" si="0"/>
        <v>15</v>
      </c>
      <c r="G87" s="402"/>
      <c r="H87" s="402"/>
      <c r="I87" s="402"/>
    </row>
    <row r="88" spans="1:9">
      <c r="A88" s="402"/>
      <c r="B88" s="402"/>
      <c r="C88" s="402"/>
      <c r="D88" s="402" t="s">
        <v>529</v>
      </c>
      <c r="E88" s="402" t="s">
        <v>156</v>
      </c>
      <c r="F88" s="402">
        <f t="shared" si="0"/>
        <v>18</v>
      </c>
      <c r="G88" s="402"/>
      <c r="H88" s="402"/>
      <c r="I88" s="402"/>
    </row>
    <row r="89" spans="1:9">
      <c r="A89" s="402"/>
      <c r="B89" s="402"/>
      <c r="C89" s="402"/>
      <c r="D89" s="402" t="s">
        <v>530</v>
      </c>
      <c r="E89" s="402" t="s">
        <v>156</v>
      </c>
      <c r="F89" s="402">
        <f t="shared" si="0"/>
        <v>18</v>
      </c>
      <c r="G89" s="402"/>
      <c r="H89" s="402"/>
      <c r="I89" s="402"/>
    </row>
    <row r="90" spans="1:9">
      <c r="A90" s="402"/>
      <c r="B90" s="402"/>
      <c r="C90" s="402"/>
      <c r="D90" s="402" t="s">
        <v>531</v>
      </c>
      <c r="E90" s="402" t="s">
        <v>351</v>
      </c>
      <c r="F90" s="402">
        <f t="shared" si="0"/>
        <v>31</v>
      </c>
      <c r="G90" s="402"/>
      <c r="H90" s="402"/>
      <c r="I90" s="402"/>
    </row>
    <row r="91" spans="1:9">
      <c r="A91" s="402"/>
      <c r="B91" s="402"/>
      <c r="C91" s="402"/>
      <c r="D91" s="402" t="s">
        <v>532</v>
      </c>
      <c r="E91" s="402" t="s">
        <v>351</v>
      </c>
      <c r="F91" s="402">
        <f t="shared" si="0"/>
        <v>31</v>
      </c>
      <c r="G91" s="402"/>
      <c r="H91" s="402"/>
      <c r="I91" s="402"/>
    </row>
    <row r="92" spans="1:9">
      <c r="A92" s="402"/>
      <c r="B92" s="402"/>
      <c r="C92" s="402"/>
      <c r="D92" s="402" t="s">
        <v>533</v>
      </c>
      <c r="E92" s="402" t="s">
        <v>856</v>
      </c>
      <c r="F92" s="402">
        <f t="shared" si="0"/>
        <v>32</v>
      </c>
      <c r="G92" s="402"/>
      <c r="H92" s="402"/>
      <c r="I92" s="402"/>
    </row>
    <row r="93" spans="1:9">
      <c r="A93" s="402"/>
      <c r="B93" s="402"/>
      <c r="C93" s="402"/>
      <c r="D93" s="402" t="s">
        <v>534</v>
      </c>
      <c r="E93" s="402" t="s">
        <v>856</v>
      </c>
      <c r="F93" s="402">
        <f t="shared" ref="F93:F127" si="1">_xlfn.XLOOKUP(E93,$B$28:$B$62,$C$28:$C$62,1)</f>
        <v>32</v>
      </c>
      <c r="G93" s="402"/>
      <c r="H93" s="402"/>
      <c r="I93" s="402"/>
    </row>
    <row r="94" spans="1:9">
      <c r="A94" s="402"/>
      <c r="B94" s="402"/>
      <c r="C94" s="402"/>
      <c r="D94" s="402" t="s">
        <v>535</v>
      </c>
      <c r="E94" s="402" t="s">
        <v>154</v>
      </c>
      <c r="F94" s="402">
        <f t="shared" si="1"/>
        <v>16</v>
      </c>
      <c r="G94" s="402"/>
      <c r="H94" s="402"/>
      <c r="I94" s="402"/>
    </row>
    <row r="95" spans="1:9">
      <c r="A95" s="402"/>
      <c r="B95" s="402"/>
      <c r="C95" s="402"/>
      <c r="D95" s="402" t="s">
        <v>536</v>
      </c>
      <c r="E95" s="402" t="s">
        <v>154</v>
      </c>
      <c r="F95" s="402">
        <f t="shared" si="1"/>
        <v>16</v>
      </c>
      <c r="G95" s="402"/>
      <c r="H95" s="402"/>
      <c r="I95" s="402"/>
    </row>
    <row r="96" spans="1:9">
      <c r="A96" s="402"/>
      <c r="B96" s="402"/>
      <c r="C96" s="402"/>
      <c r="D96" s="402" t="s">
        <v>537</v>
      </c>
      <c r="E96" s="402" t="s">
        <v>176</v>
      </c>
      <c r="F96" s="402">
        <f t="shared" si="1"/>
        <v>29</v>
      </c>
      <c r="G96" s="402"/>
      <c r="H96" s="402"/>
      <c r="I96" s="402"/>
    </row>
    <row r="97" spans="1:9">
      <c r="A97" s="402"/>
      <c r="B97" s="402"/>
      <c r="C97" s="402"/>
      <c r="D97" s="402" t="s">
        <v>538</v>
      </c>
      <c r="E97" s="402" t="s">
        <v>176</v>
      </c>
      <c r="F97" s="402">
        <f t="shared" si="1"/>
        <v>29</v>
      </c>
      <c r="G97" s="402"/>
      <c r="H97" s="402"/>
      <c r="I97" s="402"/>
    </row>
    <row r="98" spans="1:9">
      <c r="A98" s="402"/>
      <c r="B98" s="402"/>
      <c r="C98" s="402"/>
      <c r="D98" s="402" t="s">
        <v>539</v>
      </c>
      <c r="E98" s="402" t="s">
        <v>176</v>
      </c>
      <c r="F98" s="402">
        <f t="shared" si="1"/>
        <v>29</v>
      </c>
      <c r="G98" s="402"/>
      <c r="H98" s="402"/>
      <c r="I98" s="402"/>
    </row>
    <row r="99" spans="1:9">
      <c r="A99" s="402"/>
      <c r="B99" s="402"/>
      <c r="C99" s="402"/>
      <c r="D99" s="402" t="s">
        <v>540</v>
      </c>
      <c r="E99" s="402" t="s">
        <v>78</v>
      </c>
      <c r="F99" s="402">
        <f t="shared" si="1"/>
        <v>11</v>
      </c>
      <c r="G99" s="402"/>
      <c r="H99" s="402"/>
      <c r="I99" s="402"/>
    </row>
    <row r="100" spans="1:9">
      <c r="A100" s="402"/>
      <c r="B100" s="402"/>
      <c r="C100" s="402"/>
      <c r="D100" s="402" t="s">
        <v>541</v>
      </c>
      <c r="E100" s="402" t="s">
        <v>176</v>
      </c>
      <c r="F100" s="402">
        <f t="shared" si="1"/>
        <v>29</v>
      </c>
      <c r="G100" s="402"/>
      <c r="H100" s="402"/>
      <c r="I100" s="402"/>
    </row>
    <row r="101" spans="1:9">
      <c r="A101" s="402"/>
      <c r="B101" s="402"/>
      <c r="C101" s="402"/>
      <c r="D101" s="402" t="s">
        <v>542</v>
      </c>
      <c r="E101" s="402" t="s">
        <v>176</v>
      </c>
      <c r="F101" s="402">
        <f t="shared" si="1"/>
        <v>29</v>
      </c>
      <c r="G101" s="402"/>
      <c r="H101" s="402"/>
      <c r="I101" s="402"/>
    </row>
    <row r="102" spans="1:9">
      <c r="A102" s="402"/>
      <c r="B102" s="402"/>
      <c r="C102" s="402"/>
      <c r="D102" s="402" t="s">
        <v>543</v>
      </c>
      <c r="E102" s="402" t="s">
        <v>176</v>
      </c>
      <c r="F102" s="402">
        <f t="shared" si="1"/>
        <v>29</v>
      </c>
      <c r="G102" s="402"/>
      <c r="H102" s="402"/>
      <c r="I102" s="402"/>
    </row>
    <row r="103" spans="1:9">
      <c r="A103" s="402"/>
      <c r="B103" s="402"/>
      <c r="C103" s="402"/>
      <c r="D103" s="402" t="s">
        <v>544</v>
      </c>
      <c r="E103" s="402" t="s">
        <v>73</v>
      </c>
      <c r="F103" s="402">
        <f t="shared" si="1"/>
        <v>3</v>
      </c>
      <c r="G103" s="402"/>
      <c r="H103" s="402"/>
      <c r="I103" s="402"/>
    </row>
    <row r="104" spans="1:9">
      <c r="A104" s="402"/>
      <c r="B104" s="402"/>
      <c r="C104" s="402"/>
      <c r="D104" s="402" t="s">
        <v>545</v>
      </c>
      <c r="E104" s="402" t="s">
        <v>73</v>
      </c>
      <c r="F104" s="402">
        <f t="shared" si="1"/>
        <v>3</v>
      </c>
      <c r="G104" s="402"/>
      <c r="H104" s="402"/>
      <c r="I104" s="402"/>
    </row>
    <row r="105" spans="1:9">
      <c r="A105" s="402"/>
      <c r="B105" s="402"/>
      <c r="C105" s="402"/>
      <c r="D105" s="402" t="s">
        <v>546</v>
      </c>
      <c r="E105" s="402" t="s">
        <v>81</v>
      </c>
      <c r="F105" s="402">
        <f t="shared" si="1"/>
        <v>10</v>
      </c>
      <c r="G105" s="402"/>
      <c r="H105" s="402"/>
      <c r="I105" s="402"/>
    </row>
    <row r="106" spans="1:9">
      <c r="A106" s="402"/>
      <c r="B106" s="402"/>
      <c r="C106" s="402"/>
      <c r="D106" s="402" t="s">
        <v>547</v>
      </c>
      <c r="E106" s="402" t="s">
        <v>86</v>
      </c>
      <c r="F106" s="402">
        <f t="shared" si="1"/>
        <v>5</v>
      </c>
      <c r="G106" s="402"/>
      <c r="H106" s="402"/>
      <c r="I106" s="402"/>
    </row>
    <row r="107" spans="1:9">
      <c r="A107" s="402"/>
      <c r="B107" s="402"/>
      <c r="C107" s="402"/>
      <c r="D107" s="402" t="s">
        <v>548</v>
      </c>
      <c r="E107" s="402" t="s">
        <v>178</v>
      </c>
      <c r="F107" s="402">
        <f t="shared" si="1"/>
        <v>33</v>
      </c>
      <c r="G107" s="402"/>
      <c r="H107" s="402"/>
      <c r="I107" s="402"/>
    </row>
    <row r="108" spans="1:9">
      <c r="A108" s="402"/>
      <c r="B108" s="402"/>
      <c r="C108" s="402"/>
      <c r="D108" s="402" t="s">
        <v>549</v>
      </c>
      <c r="E108" s="402" t="s">
        <v>167</v>
      </c>
      <c r="F108" s="402">
        <f t="shared" si="1"/>
        <v>21</v>
      </c>
      <c r="G108" s="402"/>
      <c r="H108" s="402"/>
      <c r="I108" s="402"/>
    </row>
    <row r="109" spans="1:9">
      <c r="A109" s="402"/>
      <c r="B109" s="402"/>
      <c r="C109" s="402"/>
      <c r="D109" s="402" t="s">
        <v>550</v>
      </c>
      <c r="E109" s="402" t="s">
        <v>167</v>
      </c>
      <c r="F109" s="402">
        <f t="shared" si="1"/>
        <v>21</v>
      </c>
      <c r="G109" s="402"/>
      <c r="H109" s="402"/>
      <c r="I109" s="402"/>
    </row>
    <row r="110" spans="1:9">
      <c r="A110" s="402"/>
      <c r="B110" s="402"/>
      <c r="C110" s="402"/>
      <c r="D110" s="402" t="s">
        <v>551</v>
      </c>
      <c r="E110" s="402" t="s">
        <v>168</v>
      </c>
      <c r="F110" s="402">
        <f t="shared" si="1"/>
        <v>20</v>
      </c>
      <c r="G110" s="402"/>
      <c r="H110" s="402"/>
      <c r="I110" s="402"/>
    </row>
    <row r="111" spans="1:9">
      <c r="A111" s="402"/>
      <c r="B111" s="402"/>
      <c r="C111" s="402"/>
      <c r="D111" s="402" t="s">
        <v>552</v>
      </c>
      <c r="E111" s="402" t="s">
        <v>168</v>
      </c>
      <c r="F111" s="402">
        <f t="shared" si="1"/>
        <v>20</v>
      </c>
      <c r="G111" s="402"/>
      <c r="H111" s="402"/>
      <c r="I111" s="402"/>
    </row>
    <row r="112" spans="1:9">
      <c r="A112" s="402"/>
      <c r="B112" s="402"/>
      <c r="C112" s="402"/>
      <c r="D112" s="402" t="s">
        <v>553</v>
      </c>
      <c r="E112" s="402" t="s">
        <v>168</v>
      </c>
      <c r="F112" s="402">
        <f t="shared" si="1"/>
        <v>20</v>
      </c>
      <c r="G112" s="402"/>
      <c r="H112" s="402"/>
      <c r="I112" s="402"/>
    </row>
    <row r="113" spans="1:9">
      <c r="A113" s="402"/>
      <c r="B113" s="402"/>
      <c r="C113" s="402"/>
      <c r="D113" s="402" t="s">
        <v>554</v>
      </c>
      <c r="E113" s="402" t="s">
        <v>173</v>
      </c>
      <c r="F113" s="402">
        <f t="shared" si="1"/>
        <v>25</v>
      </c>
      <c r="G113" s="402"/>
      <c r="H113" s="402"/>
      <c r="I113" s="402"/>
    </row>
    <row r="114" spans="1:9">
      <c r="A114" s="402"/>
      <c r="B114" s="402"/>
      <c r="C114" s="402"/>
      <c r="D114" s="402" t="s">
        <v>555</v>
      </c>
      <c r="E114" s="402" t="s">
        <v>173</v>
      </c>
      <c r="F114" s="402">
        <f t="shared" si="1"/>
        <v>25</v>
      </c>
      <c r="G114" s="402"/>
      <c r="H114" s="402"/>
      <c r="I114" s="402"/>
    </row>
    <row r="115" spans="1:9">
      <c r="A115" s="402"/>
      <c r="B115" s="402"/>
      <c r="C115" s="402"/>
      <c r="D115" s="402" t="s">
        <v>556</v>
      </c>
      <c r="E115" s="402" t="s">
        <v>74</v>
      </c>
      <c r="F115" s="402">
        <f t="shared" si="1"/>
        <v>4</v>
      </c>
      <c r="G115" s="402"/>
      <c r="H115" s="402"/>
      <c r="I115" s="402"/>
    </row>
    <row r="116" spans="1:9">
      <c r="A116" s="402"/>
      <c r="B116" s="402"/>
      <c r="C116" s="402"/>
      <c r="D116" s="402" t="s">
        <v>557</v>
      </c>
      <c r="E116" s="402" t="s">
        <v>74</v>
      </c>
      <c r="F116" s="402">
        <f t="shared" si="1"/>
        <v>4</v>
      </c>
      <c r="G116" s="402"/>
      <c r="H116" s="402"/>
      <c r="I116" s="402"/>
    </row>
    <row r="117" spans="1:9">
      <c r="A117" s="402"/>
      <c r="B117" s="402"/>
      <c r="C117" s="402"/>
      <c r="D117" s="402" t="s">
        <v>558</v>
      </c>
      <c r="E117" s="402" t="s">
        <v>403</v>
      </c>
      <c r="F117" s="402">
        <f t="shared" si="1"/>
        <v>19</v>
      </c>
      <c r="G117" s="402"/>
      <c r="H117" s="402"/>
      <c r="I117" s="402"/>
    </row>
    <row r="118" spans="1:9">
      <c r="A118" s="402"/>
      <c r="B118" s="402"/>
      <c r="C118" s="402"/>
      <c r="D118" s="402" t="s">
        <v>559</v>
      </c>
      <c r="E118" s="402" t="s">
        <v>403</v>
      </c>
      <c r="F118" s="402">
        <f t="shared" si="1"/>
        <v>19</v>
      </c>
      <c r="G118" s="402"/>
      <c r="H118" s="402"/>
      <c r="I118" s="402"/>
    </row>
    <row r="119" spans="1:9">
      <c r="A119" s="402"/>
      <c r="B119" s="402"/>
      <c r="C119" s="402"/>
      <c r="D119" s="402" t="s">
        <v>560</v>
      </c>
      <c r="E119" s="402" t="s">
        <v>74</v>
      </c>
      <c r="F119" s="402">
        <f t="shared" si="1"/>
        <v>4</v>
      </c>
      <c r="G119" s="402"/>
      <c r="H119" s="402"/>
      <c r="I119" s="402"/>
    </row>
    <row r="120" spans="1:9">
      <c r="A120" s="402"/>
      <c r="B120" s="402"/>
      <c r="C120" s="402"/>
      <c r="D120" s="402" t="s">
        <v>561</v>
      </c>
      <c r="E120" s="402" t="s">
        <v>403</v>
      </c>
      <c r="F120" s="402">
        <f t="shared" si="1"/>
        <v>19</v>
      </c>
      <c r="G120" s="402"/>
      <c r="H120" s="402"/>
      <c r="I120" s="402"/>
    </row>
    <row r="121" spans="1:9">
      <c r="A121" s="402"/>
      <c r="B121" s="402"/>
      <c r="C121" s="402"/>
      <c r="D121" s="402" t="s">
        <v>562</v>
      </c>
      <c r="E121" s="402" t="s">
        <v>77</v>
      </c>
      <c r="F121" s="402">
        <f t="shared" si="1"/>
        <v>7</v>
      </c>
      <c r="G121" s="402"/>
      <c r="H121" s="402"/>
      <c r="I121" s="402"/>
    </row>
    <row r="122" spans="1:9">
      <c r="A122" s="402"/>
      <c r="B122" s="402"/>
      <c r="C122" s="402"/>
      <c r="D122" s="402" t="s">
        <v>563</v>
      </c>
      <c r="E122" s="402" t="s">
        <v>173</v>
      </c>
      <c r="F122" s="402">
        <f t="shared" si="1"/>
        <v>25</v>
      </c>
      <c r="G122" s="402"/>
      <c r="H122" s="402"/>
      <c r="I122" s="402"/>
    </row>
    <row r="123" spans="1:9">
      <c r="A123" s="402"/>
      <c r="B123" s="402"/>
      <c r="C123" s="402"/>
      <c r="D123" s="402" t="s">
        <v>564</v>
      </c>
      <c r="E123" s="402" t="s">
        <v>86</v>
      </c>
      <c r="F123" s="402">
        <f t="shared" si="1"/>
        <v>5</v>
      </c>
      <c r="G123" s="402"/>
      <c r="H123" s="402"/>
      <c r="I123" s="402"/>
    </row>
    <row r="124" spans="1:9">
      <c r="A124" s="402"/>
      <c r="B124" s="402"/>
      <c r="C124" s="402"/>
      <c r="D124" s="402" t="s">
        <v>565</v>
      </c>
      <c r="E124" s="402" t="s">
        <v>82</v>
      </c>
      <c r="F124" s="402">
        <f t="shared" si="1"/>
        <v>12</v>
      </c>
      <c r="G124" s="402"/>
      <c r="H124" s="402"/>
      <c r="I124" s="402"/>
    </row>
    <row r="125" spans="1:9">
      <c r="A125" s="402"/>
      <c r="B125" s="402"/>
      <c r="C125" s="402"/>
      <c r="D125" s="402" t="s">
        <v>566</v>
      </c>
      <c r="E125" s="402" t="s">
        <v>86</v>
      </c>
      <c r="F125" s="402">
        <f t="shared" si="1"/>
        <v>5</v>
      </c>
      <c r="G125" s="402"/>
      <c r="H125" s="402"/>
      <c r="I125" s="402"/>
    </row>
    <row r="126" spans="1:9">
      <c r="A126" s="402"/>
      <c r="B126" s="402"/>
      <c r="C126" s="402"/>
      <c r="D126" s="402" t="s">
        <v>567</v>
      </c>
      <c r="E126" s="402" t="s">
        <v>72</v>
      </c>
      <c r="F126" s="402">
        <f t="shared" si="1"/>
        <v>2</v>
      </c>
      <c r="G126" s="402"/>
      <c r="H126" s="402"/>
      <c r="I126" s="402"/>
    </row>
    <row r="127" spans="1:9">
      <c r="A127" s="402"/>
      <c r="B127" s="402"/>
      <c r="C127" s="402"/>
      <c r="D127" s="402" t="s">
        <v>568</v>
      </c>
      <c r="E127" s="402" t="s">
        <v>83</v>
      </c>
      <c r="F127" s="402">
        <f t="shared" si="1"/>
        <v>13</v>
      </c>
      <c r="G127" s="402"/>
      <c r="H127" s="402"/>
      <c r="I127" s="402"/>
    </row>
  </sheetData>
  <sortState xmlns:xlrd2="http://schemas.microsoft.com/office/spreadsheetml/2017/richdata2" ref="D28:E127">
    <sortCondition ref="D27:D127"/>
  </sortState>
  <mergeCells count="4">
    <mergeCell ref="A10:A14"/>
    <mergeCell ref="A15:A18"/>
    <mergeCell ref="A19:A23"/>
    <mergeCell ref="A3:A9"/>
  </mergeCells>
  <hyperlinks>
    <hyperlink ref="B10" location="'Privé - Achat&amp;Utilisation'!A1" display="Achat, entretien, utilisation d'un véhicule" xr:uid="{3B4AD0A6-CA9C-7841-935E-F0460D46F87E}"/>
    <hyperlink ref="B11" location="'Privé&amp;Indirect - ARTM'!A1" display="Utilisation des services de transport en commun" xr:uid="{B439D090-2CF3-4943-8E02-E561FC4D74B4}"/>
    <hyperlink ref="B12" location="'Privé - Contravention'!A1" display="Contraventions" xr:uid="{D5AC30A6-7823-F74E-B2E3-58D1DAF019BA}"/>
    <hyperlink ref="B13" location="'Privé - Permis, etc'!A1" display="Permis, immatriculation &amp; taxes " xr:uid="{3F1B04D1-EEBD-E841-8F77-4CBA7FC6D64C}"/>
    <hyperlink ref="B14" location="'Privé - Temps'!A1" display="Temps de déplacement" xr:uid="{EA72D23D-F8DA-7848-8C5D-A2C60CF3BB08}"/>
    <hyperlink ref="B3" location="'Résultats finaux - PAR PERSONNE'!A1" display="Finaux" xr:uid="{F6838087-BDDF-224B-B748-719197C0DC66}"/>
    <hyperlink ref="B15" location="'Indirect - Budget VdeM'!A1" display="Budget de la Ville de Montréal" xr:uid="{C4CDFA5E-0481-AA49-98F8-9EC0EEEE0A69}"/>
    <hyperlink ref="B16" location="'Indirect - Villes'!A1" display="Budgets des autres villes de l'agglomération" xr:uid="{A9EAE985-F921-4A47-B001-F8F98F28772A}"/>
    <hyperlink ref="B17" location="'Indirect - Prov. &amp; Féd.'!A1" display="Budgets provinciales et fédérales" xr:uid="{8B5A1B3E-3738-EB46-A305-C355FB796A38}"/>
    <hyperlink ref="B18" location="'Privé&amp;Indirect - ARTM'!A1" display="Budget ARTM" xr:uid="{771E5B95-15B7-DA47-9063-A9B8D753A9CA}"/>
    <hyperlink ref="B19" location="'Caché - GES'!A1" display="Gaz à effet de serre" xr:uid="{5A89736D-8752-D947-8F1B-462F5A0A28D1}"/>
    <hyperlink ref="B20" location="'Caché - Congestion'!A1" display="Congestion routières" xr:uid="{32B2E62A-959E-FE46-9EBC-26A1E8964AC5}"/>
    <hyperlink ref="B21" location="'Caché - Accident'!A1" display="Accidents de la route" xr:uid="{B0379695-4A69-BE4B-8122-E17FDD9667FB}"/>
    <hyperlink ref="B22" location="'Caché - Emprise spatiale'!A1" display="Emprise spatiale" xr:uid="{E5AEF265-335F-554E-A227-6C6DC525D8D0}"/>
    <hyperlink ref="B23" location="'Caché - Santé'!A1" display="Santé" xr:uid="{5F453292-C433-1340-B8F1-B2ABCEEFBAE9}"/>
    <hyperlink ref="B4" location="'Auto - résumé'!A1" display="Auto" xr:uid="{DFCF1427-AF19-ED43-B6BE-BADCEEE1348B}"/>
    <hyperlink ref="B5" location="'TC - résumé'!A1" display="Transport en commun" xr:uid="{32C73A58-F813-0548-8FAE-E37910952C84}"/>
    <hyperlink ref="B6" location="'Vélo - résumé'!A1" display="Vélo" xr:uid="{6F1EB747-FF07-1346-B0FB-91B51481E03F}"/>
    <hyperlink ref="B7" location="'Marche - résumé'!A1" display="Marche" xr:uid="{96A3BCCA-2152-314B-9045-8B7DE5422CA4}"/>
    <hyperlink ref="B8" location="'Distributions de coûts - graphs'!A1" display="Distribution des coûts à travers le territoire" xr:uid="{5B944B4C-45E1-EB4A-A48F-20B412D832E7}"/>
    <hyperlink ref="B9" location="'Résultat - projection'!A1" display="Résultats - projections" xr:uid="{506A865D-A14D-5D40-9B6C-6A2ECA64CBC0}"/>
  </hyperlinks>
  <pageMargins left="0.7" right="0.7" top="0.75" bottom="0.75" header="0.3" footer="0.3"/>
  <pageSetup orientation="portrait" horizontalDpi="0" verticalDpi="0"/>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AAA99F-1277-E24E-A731-3E3294B82B7C}">
  <sheetPr codeName="Sheet5"/>
  <dimension ref="A1:S163"/>
  <sheetViews>
    <sheetView topLeftCell="A4" zoomScaleNormal="100" workbookViewId="0">
      <selection activeCell="C65" sqref="C65"/>
    </sheetView>
  </sheetViews>
  <sheetFormatPr baseColWidth="10" defaultRowHeight="16"/>
  <cols>
    <col min="1" max="1" width="52.1640625" customWidth="1"/>
    <col min="2" max="2" width="27.83203125" customWidth="1"/>
    <col min="3" max="3" width="20.6640625" customWidth="1"/>
    <col min="4" max="4" width="24.33203125" customWidth="1"/>
    <col min="5" max="5" width="19.6640625" customWidth="1"/>
    <col min="6" max="6" width="24.83203125" customWidth="1"/>
    <col min="7" max="7" width="14.83203125" customWidth="1"/>
    <col min="8" max="8" width="13" customWidth="1"/>
    <col min="9" max="9" width="11.6640625" customWidth="1"/>
    <col min="10" max="10" width="14" customWidth="1"/>
    <col min="11" max="11" width="13.5" customWidth="1"/>
    <col min="12" max="12" width="13.33203125" customWidth="1"/>
  </cols>
  <sheetData>
    <row r="1" spans="1:10">
      <c r="A1" s="501" t="s">
        <v>841</v>
      </c>
    </row>
    <row r="2" spans="1:10" ht="26">
      <c r="A2" s="48" t="s">
        <v>26</v>
      </c>
      <c r="B2" s="48"/>
    </row>
    <row r="4" spans="1:10" ht="212" customHeight="1">
      <c r="A4" s="637" t="s">
        <v>1086</v>
      </c>
      <c r="B4" s="637"/>
      <c r="C4" s="637"/>
      <c r="D4" s="637"/>
      <c r="E4" s="637"/>
    </row>
    <row r="6" spans="1:10" ht="17" thickBot="1">
      <c r="A6" s="52"/>
      <c r="B6" s="81" t="s">
        <v>10</v>
      </c>
      <c r="C6" s="57" t="s">
        <v>12</v>
      </c>
    </row>
    <row r="7" spans="1:10">
      <c r="A7" s="19" t="s">
        <v>893</v>
      </c>
      <c r="B7" s="53" cm="1">
        <f t="array" ref="B7">IF(Bienvenue!G11=1,INDEX(B18:B33,Bienvenue!G10,1),INDEX(B35:B53,Bienvenue!G11-1,1))</f>
        <v>1210.629143850945</v>
      </c>
      <c r="C7" s="54">
        <f>C111*B13</f>
        <v>205.07379999999998</v>
      </c>
      <c r="D7" s="54"/>
    </row>
    <row r="8" spans="1:10">
      <c r="A8" s="19" t="s">
        <v>651</v>
      </c>
      <c r="B8" s="53" cm="1">
        <f t="array" ref="B8">IF(Bienvenue!G11=1,INDEX(C65:C80,Bienvenue!G10,1),INDEX(C82:C100,Bienvenue!G11-1,1))</f>
        <v>2062.2806077688738</v>
      </c>
      <c r="C8" s="53">
        <v>0</v>
      </c>
      <c r="F8" s="54"/>
      <c r="G8" s="54"/>
      <c r="H8" s="54"/>
      <c r="I8" s="54"/>
    </row>
    <row r="9" spans="1:10">
      <c r="A9" s="19" t="s">
        <v>316</v>
      </c>
      <c r="B9" s="54">
        <f>SUM(B7:B8)</f>
        <v>3272.909751619819</v>
      </c>
      <c r="C9" s="54">
        <f>SUM(C7:C8)</f>
        <v>205.07379999999998</v>
      </c>
      <c r="D9" s="54"/>
      <c r="F9" s="54"/>
      <c r="G9" s="54"/>
      <c r="H9" s="54"/>
      <c r="I9" s="54"/>
    </row>
    <row r="10" spans="1:10">
      <c r="A10" s="19"/>
      <c r="B10" s="54"/>
      <c r="C10" s="54"/>
      <c r="D10" s="54"/>
      <c r="F10" s="54"/>
      <c r="G10" s="54"/>
      <c r="H10" s="54"/>
      <c r="I10" s="54"/>
    </row>
    <row r="11" spans="1:10">
      <c r="A11" s="19" t="s">
        <v>894</v>
      </c>
      <c r="B11" s="20">
        <v>17000</v>
      </c>
      <c r="C11" s="54" t="s">
        <v>935</v>
      </c>
      <c r="D11" s="54"/>
      <c r="F11" s="54"/>
      <c r="G11" s="54"/>
      <c r="H11" s="54"/>
      <c r="I11" s="54"/>
    </row>
    <row r="12" spans="1:10">
      <c r="A12" s="19" t="s">
        <v>205</v>
      </c>
      <c r="B12">
        <v>1.2305999999999999</v>
      </c>
    </row>
    <row r="13" spans="1:10">
      <c r="A13" s="19" t="s">
        <v>295</v>
      </c>
      <c r="B13">
        <v>1.1520999999999999</v>
      </c>
      <c r="J13" s="54"/>
    </row>
    <row r="14" spans="1:10">
      <c r="A14" s="19" t="s">
        <v>650</v>
      </c>
      <c r="B14">
        <v>1.1487000000000001</v>
      </c>
      <c r="D14" s="54"/>
      <c r="F14" s="54"/>
      <c r="J14" s="54"/>
    </row>
    <row r="15" spans="1:10">
      <c r="A15" s="19" t="s">
        <v>203</v>
      </c>
      <c r="B15" s="21">
        <v>864035</v>
      </c>
    </row>
    <row r="16" spans="1:10">
      <c r="A16" s="19" t="s">
        <v>204</v>
      </c>
      <c r="B16" s="21">
        <v>912725</v>
      </c>
      <c r="J16" s="3" t="s">
        <v>926</v>
      </c>
    </row>
    <row r="17" spans="1:19" ht="55" customHeight="1" thickBot="1">
      <c r="A17" s="99" t="s">
        <v>197</v>
      </c>
      <c r="B17" s="99" t="s">
        <v>934</v>
      </c>
      <c r="C17" s="100" t="s">
        <v>924</v>
      </c>
      <c r="D17" s="100" t="s">
        <v>292</v>
      </c>
      <c r="E17" s="100" t="s">
        <v>925</v>
      </c>
      <c r="F17" s="100" t="s">
        <v>678</v>
      </c>
      <c r="G17" s="154" t="s">
        <v>4</v>
      </c>
      <c r="H17" s="100" t="s">
        <v>200</v>
      </c>
      <c r="I17" s="100" t="s">
        <v>201</v>
      </c>
      <c r="J17" s="360" t="s">
        <v>198</v>
      </c>
      <c r="K17" s="361" t="s">
        <v>199</v>
      </c>
      <c r="L17" s="361" t="s">
        <v>927</v>
      </c>
    </row>
    <row r="18" spans="1:19" ht="21" customHeight="1">
      <c r="A18" s="101" t="s">
        <v>202</v>
      </c>
      <c r="B18" s="311" cm="1">
        <f t="array" ref="B18">SUM(B19:B33*'Clés de répartition'!$D135:$D149*'Clés de répartition'!$B51:$B65)/('Clés de répartition'!$D$134*'Clés de répartition'!$B50)</f>
        <v>1210.629143850945</v>
      </c>
      <c r="C18" s="439" cm="1">
        <f t="array" ref="C18">SUM(C19:C33*'Clés de répartition'!$D135:$D149*'Clés de répartition'!$B51:$B65)/('Clés de répartition'!$D$134*'Clés de répartition'!$B50)</f>
        <v>2223.0066274239921</v>
      </c>
      <c r="D18" s="439" cm="1">
        <f t="array" ref="D18">SUM(D19:D33*'Clés de répartition'!$D135:$D149*'Clés de répartition'!$B51:$B65)/('Clés de répartition'!$D$134*'Clés de répartition'!$B50)</f>
        <v>1547.582656694766</v>
      </c>
      <c r="E18" s="439" cm="1">
        <f t="array" ref="E18">SUM(E19:E33*'Clés de répartition'!$D135:$D149*'Clés de répartition'!$B51:$B65)/('Clés de répartition'!$D$134*'Clés de répartition'!$B50)</f>
        <v>1578.7002427392802</v>
      </c>
      <c r="F18" s="439" cm="1">
        <f t="array" ref="F18">SUM(F19:F33*'Clés de répartition'!$D135:$D149*'Clés de répartition'!$B51:$B65)/('Clés de répartition'!$D$134*'Clés de répartition'!$B50)</f>
        <v>1105.8490127332668</v>
      </c>
      <c r="G18" s="440" cm="1">
        <f t="array" ref="G18">SUM(G19:G33*'Clés de répartition'!$D135:$D149*'Clés de répartition'!$B51:$B65)/('Clés de répartition'!$D$134*'Clés de répartition'!$B50)</f>
        <v>100.32086109480417</v>
      </c>
      <c r="H18" s="439" cm="1">
        <f t="array" ref="H18">SUM(H19:H33*'Clés de répartition'!$D135:$D149*'Clés de répartition'!$B51:$B65)/('Clés de répartition'!$D$134*'Clés de répartition'!$B50)</f>
        <v>1044.4318063890667</v>
      </c>
      <c r="I18" s="439" cm="1">
        <f t="array" ref="I18">SUM(I19:I33*'Clés de répartition'!$D135:$D149*'Clés de répartition'!$B51:$B65)/('Clés de répartition'!$D$134*'Clés de répartition'!$B50)</f>
        <v>433.94757525540956</v>
      </c>
      <c r="J18" s="440" cm="1">
        <f t="array" ref="J18">SUM(J19:J33*'Clés de répartition'!$D135:$D149*'Clés de répartition'!$B51:$B65)/('Clés de répartition'!$D$134*'Clés de répartition'!$B50)</f>
        <v>1909.5597976724534</v>
      </c>
      <c r="K18" s="439" cm="1">
        <f t="array" ref="K18">SUM(K19:K33*'Clés de répartition'!$D135:$D149*'Clés de répartition'!$B51:$B65)/('Clés de répartition'!$D$134*'Clés de répartition'!$B50)</f>
        <v>245.0846621394856</v>
      </c>
      <c r="L18" s="439" cm="1">
        <f t="array" ref="L18">SUM(L19:L33*'Clés de répartition'!$D135:$D149*'Clés de répartition'!$B51:$B65)/('Clés de répartition'!$D$134*'Clés de répartition'!$B50)</f>
        <v>528.29131092376872</v>
      </c>
      <c r="M18" s="54"/>
      <c r="P18" s="54"/>
    </row>
    <row r="19" spans="1:19" ht="17">
      <c r="A19" s="102" t="s">
        <v>71</v>
      </c>
      <c r="B19" s="311">
        <f>(D19+F19)*$B$12*('Clés de répartition'!F94*'Privé - Temps'!$B$11*2)/'Privé - Achat&amp;Utilisation'!$B$11</f>
        <v>2721.9536508651727</v>
      </c>
      <c r="C19" s="441">
        <v>4496</v>
      </c>
      <c r="D19" s="442">
        <f>C19/'Clés de répartition'!G135</f>
        <v>3040.6730600154197</v>
      </c>
      <c r="E19" s="442">
        <f t="shared" ref="E19:E33" si="0">SUM(G19:I19)</f>
        <v>2644</v>
      </c>
      <c r="F19" s="54">
        <f>E19/'Clés de répartition'!G135</f>
        <v>1788.1538191015948</v>
      </c>
      <c r="G19" s="443">
        <v>159</v>
      </c>
      <c r="H19" s="444">
        <v>1648</v>
      </c>
      <c r="I19" s="444">
        <v>837</v>
      </c>
      <c r="J19" s="443">
        <v>3293</v>
      </c>
      <c r="K19" s="444">
        <v>420</v>
      </c>
      <c r="L19" s="444">
        <v>835</v>
      </c>
      <c r="M19" s="54"/>
      <c r="Q19" s="96"/>
      <c r="S19" s="96"/>
    </row>
    <row r="20" spans="1:19" ht="17">
      <c r="A20" s="102" t="s">
        <v>72</v>
      </c>
      <c r="B20" s="311">
        <f>(D20+F20)*$B$12*('Clés de répartition'!F95*'Privé - Temps'!$B$11*2)/'Privé - Achat&amp;Utilisation'!$B$11</f>
        <v>2791.520954041388</v>
      </c>
      <c r="C20" s="441">
        <v>4379</v>
      </c>
      <c r="D20" s="442">
        <f>C20/'Clés de répartition'!G136</f>
        <v>2710.9515260323165</v>
      </c>
      <c r="E20" s="442">
        <f t="shared" si="0"/>
        <v>2791</v>
      </c>
      <c r="F20" s="54">
        <f>E20/'Clés de répartition'!G136</f>
        <v>1727.8524113167834</v>
      </c>
      <c r="G20" s="443">
        <v>203</v>
      </c>
      <c r="H20" s="444">
        <v>1853</v>
      </c>
      <c r="I20" s="444">
        <v>735</v>
      </c>
      <c r="J20" s="443">
        <v>3333</v>
      </c>
      <c r="K20" s="444">
        <v>425</v>
      </c>
      <c r="L20" s="444">
        <v>913</v>
      </c>
      <c r="Q20" s="96"/>
      <c r="S20" s="96"/>
    </row>
    <row r="21" spans="1:19" ht="17">
      <c r="A21" s="102" t="s">
        <v>73</v>
      </c>
      <c r="B21" s="311">
        <f>(D21+F21)*$B$12*('Clés de répartition'!F96*'Privé - Temps'!$B$11*2)/'Privé - Achat&amp;Utilisation'!$B$11</f>
        <v>1455.2144373412525</v>
      </c>
      <c r="C21" s="441">
        <v>2943</v>
      </c>
      <c r="D21" s="442">
        <f>C21/'Clés de répartition'!G137</f>
        <v>2533.5307587679272</v>
      </c>
      <c r="E21" s="442">
        <f t="shared" si="0"/>
        <v>2181</v>
      </c>
      <c r="F21" s="54">
        <f>E21/'Clés de répartition'!G137</f>
        <v>1877.5503176598197</v>
      </c>
      <c r="G21" s="443">
        <v>128</v>
      </c>
      <c r="H21" s="444">
        <v>1609</v>
      </c>
      <c r="I21" s="444">
        <v>444</v>
      </c>
      <c r="J21" s="443">
        <v>2094</v>
      </c>
      <c r="K21" s="444">
        <v>239</v>
      </c>
      <c r="L21" s="444">
        <v>629</v>
      </c>
      <c r="Q21" s="96"/>
      <c r="S21" s="96"/>
    </row>
    <row r="22" spans="1:19" ht="17">
      <c r="A22" s="102" t="s">
        <v>74</v>
      </c>
      <c r="B22" s="311">
        <f>(D22+F22)*$B$12*('Clés de répartition'!F97*'Privé - Temps'!$B$11*2)/'Privé - Achat&amp;Utilisation'!$B$11</f>
        <v>1965.8906666914634</v>
      </c>
      <c r="C22" s="441">
        <v>3426</v>
      </c>
      <c r="D22" s="442">
        <f>C22/'Clés de répartition'!G138</f>
        <v>2087.0900141332427</v>
      </c>
      <c r="E22" s="442">
        <f t="shared" si="0"/>
        <v>2504</v>
      </c>
      <c r="F22" s="54">
        <f>E22/'Clés de répartition'!G138</f>
        <v>1525.4154685900874</v>
      </c>
      <c r="G22" s="443">
        <v>103</v>
      </c>
      <c r="H22" s="444">
        <v>1682</v>
      </c>
      <c r="I22" s="444">
        <v>719</v>
      </c>
      <c r="J22" s="443">
        <v>2834</v>
      </c>
      <c r="K22" s="444">
        <v>374</v>
      </c>
      <c r="L22" s="444">
        <v>791</v>
      </c>
      <c r="Q22" s="96"/>
      <c r="S22" s="96"/>
    </row>
    <row r="23" spans="1:19" ht="17">
      <c r="A23" s="102" t="s">
        <v>75</v>
      </c>
      <c r="B23" s="311">
        <f>(D23+F23)*$B$12*('Clés de répartition'!F98*'Privé - Temps'!$B$11*2)/'Privé - Achat&amp;Utilisation'!$B$11</f>
        <v>1727.1321673763605</v>
      </c>
      <c r="C23" s="441">
        <v>3133</v>
      </c>
      <c r="D23" s="442">
        <f>C23/'Clés de répartition'!G139</f>
        <v>2236.9144431989375</v>
      </c>
      <c r="E23" s="442">
        <f t="shared" si="0"/>
        <v>1793</v>
      </c>
      <c r="F23" s="54">
        <f>E23/'Clés de répartition'!G139</f>
        <v>1280.174783484103</v>
      </c>
      <c r="G23" s="443">
        <v>101</v>
      </c>
      <c r="H23" s="444">
        <v>1119</v>
      </c>
      <c r="I23" s="444">
        <v>573</v>
      </c>
      <c r="J23" s="443">
        <v>2253</v>
      </c>
      <c r="K23" s="444">
        <v>276</v>
      </c>
      <c r="L23" s="444">
        <v>590</v>
      </c>
      <c r="Q23" s="96"/>
      <c r="S23" s="96"/>
    </row>
    <row r="24" spans="1:19" ht="17">
      <c r="A24" s="102" t="s">
        <v>76</v>
      </c>
      <c r="B24" s="311">
        <f>(D24+F24)*$B$12*('Clés de répartition'!F99*'Privé - Temps'!$B$11*2)/'Privé - Achat&amp;Utilisation'!$B$11</f>
        <v>1040.7998743650689</v>
      </c>
      <c r="C24" s="441">
        <v>3285</v>
      </c>
      <c r="D24" s="442">
        <f>C24/'Clés de répartition'!G140</f>
        <v>2110.5345298478342</v>
      </c>
      <c r="E24" s="442">
        <f t="shared" si="0"/>
        <v>2480</v>
      </c>
      <c r="F24" s="54">
        <f>E24/'Clés de répartition'!G140</f>
        <v>1593.341136688776</v>
      </c>
      <c r="G24" s="443">
        <v>332</v>
      </c>
      <c r="H24" s="444">
        <v>1766</v>
      </c>
      <c r="I24" s="444">
        <v>382</v>
      </c>
      <c r="J24" s="443">
        <v>2291</v>
      </c>
      <c r="K24" s="444">
        <v>294</v>
      </c>
      <c r="L24" s="444">
        <v>989</v>
      </c>
      <c r="Q24" s="96"/>
      <c r="S24" s="96"/>
    </row>
    <row r="25" spans="1:19">
      <c r="A25" s="103" t="s">
        <v>77</v>
      </c>
      <c r="B25" s="311">
        <f>(D25+F25)*$B$12*('Clés de répartition'!F100*'Privé - Temps'!$B$11*2)/'Privé - Achat&amp;Utilisation'!$B$11</f>
        <v>2755.9145734374192</v>
      </c>
      <c r="C25" s="441">
        <v>4367</v>
      </c>
      <c r="D25" s="442">
        <f>C25/'Clés de répartition'!G141</f>
        <v>2414.0409065782201</v>
      </c>
      <c r="E25" s="442">
        <f t="shared" si="0"/>
        <v>3257</v>
      </c>
      <c r="F25" s="54">
        <f>E25/'Clés de répartition'!G141</f>
        <v>1800.4422332780541</v>
      </c>
      <c r="G25" s="443">
        <v>145</v>
      </c>
      <c r="H25" s="444">
        <v>2523</v>
      </c>
      <c r="I25" s="444">
        <v>589</v>
      </c>
      <c r="J25" s="443">
        <v>4023</v>
      </c>
      <c r="K25" s="444">
        <v>494</v>
      </c>
      <c r="L25" s="444">
        <v>999</v>
      </c>
      <c r="Q25" s="96"/>
      <c r="S25" s="96"/>
    </row>
    <row r="26" spans="1:19">
      <c r="A26" s="103" t="s">
        <v>79</v>
      </c>
      <c r="B26" s="311" cm="1">
        <f t="array" ref="B26">SUM(B35:B53*'Clés de répartition'!$D151:$D169*'Clés de répartition'!$B67:$B85)/('Clés de répartition'!$D$142*'Clés de répartition'!$B58)</f>
        <v>1094.3366480632151</v>
      </c>
      <c r="C26" s="439" cm="1">
        <f t="array" ref="C26">SUM(C35:C53*'Clés de répartition'!$D151:$D169*'Clés de répartition'!$B67:$B85)/('Clés de répartition'!$D$142*'Clés de répartition'!$B58)</f>
        <v>2027.8053095466635</v>
      </c>
      <c r="D26" s="439" cm="1">
        <f t="array" ref="D26">SUM(D35:D53*'Clés de répartition'!$D151:$D169*'Clés de répartition'!$B67:$B85)/('Clés de répartition'!$D$142*'Clés de répartition'!$B58)</f>
        <v>1425.8437857872302</v>
      </c>
      <c r="E26" s="439" cm="1">
        <f t="array" ref="E26">SUM(E35:E53*'Clés de répartition'!$D151:$D169*'Clés de répartition'!$B67:$B85)/('Clés de répartition'!$D$142*'Clés de répartition'!$B58)</f>
        <v>1442.2584311458538</v>
      </c>
      <c r="F26" s="439" cm="1">
        <f t="array" ref="F26">SUM(F35:F53*'Clés de répartition'!$D151:$D169*'Clés de répartition'!$B67:$B85)/('Clés de répartition'!$D$142*'Clés de répartition'!$B58)</f>
        <v>1021.5231198096255</v>
      </c>
      <c r="G26" s="440" cm="1">
        <f t="array" ref="G26">SUM(G35:G53*'Clés de répartition'!$D151:$D169*'Clés de répartition'!$B67:$B85)/('Clés de répartition'!$D$142*'Clés de répartition'!$B58)</f>
        <v>91.571402296381436</v>
      </c>
      <c r="H26" s="439" cm="1">
        <f t="array" ref="H26">SUM(H35:H53*'Clés de répartition'!$D151:$D169*'Clés de répartition'!$B67:$B85)/('Clés de répartition'!$D$142*'Clés de répartition'!$B58)</f>
        <v>944.65490795932601</v>
      </c>
      <c r="I26" s="439" cm="1">
        <f t="array" ref="I26">SUM(I35:I53*'Clés de répartition'!$D151:$D169*'Clés de répartition'!$B67:$B85)/('Clés de répartition'!$D$142*'Clés de répartition'!$B58)</f>
        <v>406.03212089014642</v>
      </c>
      <c r="J26" s="440" cm="1">
        <f t="array" ref="J26">SUM(J35:J53*'Clés de répartition'!$D151:$D169*'Clés de répartition'!$B67:$B85)/('Clés de répartition'!$D$142*'Clés de répartition'!$B58)</f>
        <v>1770.6560479098978</v>
      </c>
      <c r="K26" s="439" cm="1">
        <f t="array" ref="K26">SUM(K35:K53*'Clés de répartition'!$D151:$D169*'Clés de répartition'!$B67:$B85)/('Clés de répartition'!$D$142*'Clés de répartition'!$B58)</f>
        <v>227.23458853821623</v>
      </c>
      <c r="L26" s="439" cm="1">
        <f t="array" ref="L26">SUM(L35:L53*'Clés de répartition'!$D151:$D169*'Clés de répartition'!$B67:$B85)/('Clés de répartition'!$D$142*'Clés de répartition'!$B58)</f>
        <v>486.72930560523196</v>
      </c>
      <c r="Q26" s="96"/>
      <c r="S26" s="96"/>
    </row>
    <row r="27" spans="1:19">
      <c r="A27" s="103" t="s">
        <v>80</v>
      </c>
      <c r="B27" s="311">
        <f>(D27+F27)*$B$12*('Clés de répartition'!F102*'Privé - Temps'!$B$11*2)/'Privé - Achat&amp;Utilisation'!$B$11</f>
        <v>1114.7498515894781</v>
      </c>
      <c r="C27" s="441">
        <v>1918</v>
      </c>
      <c r="D27" s="442">
        <f>C27/'Clés de répartition'!G143</f>
        <v>1313.0151428023767</v>
      </c>
      <c r="E27" s="442">
        <f t="shared" si="0"/>
        <v>1283</v>
      </c>
      <c r="F27" s="54">
        <f>E27/'Clés de répartition'!G143</f>
        <v>878.30992086311221</v>
      </c>
      <c r="G27" s="443">
        <v>45</v>
      </c>
      <c r="H27" s="444">
        <v>808</v>
      </c>
      <c r="I27" s="444">
        <v>430</v>
      </c>
      <c r="J27" s="443">
        <v>2022</v>
      </c>
      <c r="K27" s="444">
        <v>245</v>
      </c>
      <c r="L27" s="444">
        <v>491</v>
      </c>
      <c r="Q27" s="96"/>
      <c r="S27" s="96"/>
    </row>
    <row r="28" spans="1:19" ht="17">
      <c r="A28" s="102" t="s">
        <v>81</v>
      </c>
      <c r="B28" s="311">
        <f>(D28+F28)*$B$12*('Clés de répartition'!F103*'Privé - Temps'!$B$11*2)/'Privé - Achat&amp;Utilisation'!$B$11</f>
        <v>1275.3138202722012</v>
      </c>
      <c r="C28" s="441">
        <v>2337</v>
      </c>
      <c r="D28" s="442">
        <f>C28/'Clés de répartition'!G144</f>
        <v>1504.7130936437622</v>
      </c>
      <c r="E28" s="442">
        <f t="shared" si="0"/>
        <v>2087</v>
      </c>
      <c r="F28" s="54">
        <f>E28/'Clés de répartition'!G144</f>
        <v>1343.7467806737407</v>
      </c>
      <c r="G28" s="443">
        <v>211</v>
      </c>
      <c r="H28" s="444">
        <v>1323</v>
      </c>
      <c r="I28" s="444">
        <v>553</v>
      </c>
      <c r="J28" s="443">
        <v>2250</v>
      </c>
      <c r="K28" s="444">
        <v>320</v>
      </c>
      <c r="L28" s="444">
        <v>716</v>
      </c>
      <c r="Q28" s="96"/>
      <c r="S28" s="96"/>
    </row>
    <row r="29" spans="1:19" ht="17">
      <c r="A29" s="102" t="s">
        <v>78</v>
      </c>
      <c r="B29" s="311">
        <f>(D29+F29)*$B$12*('Clés de répartition'!F104*'Privé - Temps'!$B$11*2)/'Privé - Achat&amp;Utilisation'!$B$11</f>
        <v>1148.3675606293889</v>
      </c>
      <c r="C29" s="441">
        <v>2193</v>
      </c>
      <c r="D29" s="442">
        <f>C29/'Clés de répartition'!G145</f>
        <v>1476.7676767676767</v>
      </c>
      <c r="E29" s="442">
        <f t="shared" si="0"/>
        <v>2519</v>
      </c>
      <c r="F29" s="54">
        <f>E29/'Clés de répartition'!G145</f>
        <v>1696.2962962962961</v>
      </c>
      <c r="G29" s="443">
        <v>299</v>
      </c>
      <c r="H29" s="444">
        <v>1672</v>
      </c>
      <c r="I29" s="444">
        <v>548</v>
      </c>
      <c r="J29" s="443">
        <v>2498</v>
      </c>
      <c r="K29" s="444">
        <v>384</v>
      </c>
      <c r="L29" s="444">
        <v>877</v>
      </c>
      <c r="Q29" s="96"/>
      <c r="S29" s="96"/>
    </row>
    <row r="30" spans="1:19">
      <c r="A30" s="103" t="s">
        <v>82</v>
      </c>
      <c r="B30" s="311">
        <f>(D30+F30)*$B$12*('Clés de répartition'!F105*'Privé - Temps'!$B$11*2)/'Privé - Achat&amp;Utilisation'!$B$11</f>
        <v>1860.1485034887987</v>
      </c>
      <c r="C30" s="441">
        <v>3640</v>
      </c>
      <c r="D30" s="442">
        <f>C30/'Clés de répartition'!G146</f>
        <v>2625.4291566890747</v>
      </c>
      <c r="E30" s="442">
        <f t="shared" si="0"/>
        <v>2014</v>
      </c>
      <c r="F30" s="54">
        <f>E30/'Clés de répartition'!G146</f>
        <v>1452.641297135109</v>
      </c>
      <c r="G30" s="443">
        <v>110</v>
      </c>
      <c r="H30" s="444">
        <v>1357</v>
      </c>
      <c r="I30" s="444">
        <v>547</v>
      </c>
      <c r="J30" s="443">
        <v>2553</v>
      </c>
      <c r="K30" s="444">
        <v>302</v>
      </c>
      <c r="L30" s="444">
        <v>670</v>
      </c>
      <c r="Q30" s="96"/>
      <c r="S30" s="96"/>
    </row>
    <row r="31" spans="1:19" ht="17">
      <c r="A31" s="102" t="s">
        <v>83</v>
      </c>
      <c r="B31" s="311">
        <f>(D31+F31)*$B$12*('Clés de répartition'!F106*'Privé - Temps'!$B$11*2)/'Privé - Achat&amp;Utilisation'!$B$11</f>
        <v>2474.0564971994636</v>
      </c>
      <c r="C31" s="441">
        <v>3844</v>
      </c>
      <c r="D31" s="442">
        <f>C31/'Clés de répartition'!G147</f>
        <v>2488.7185430249201</v>
      </c>
      <c r="E31" s="442">
        <f t="shared" si="0"/>
        <v>1758</v>
      </c>
      <c r="F31" s="54">
        <f>E31/'Clés de répartition'!G147</f>
        <v>1138.1808529234675</v>
      </c>
      <c r="G31" s="443">
        <v>104</v>
      </c>
      <c r="H31" s="444">
        <v>1200</v>
      </c>
      <c r="I31" s="444">
        <v>454</v>
      </c>
      <c r="J31" s="443">
        <v>2208</v>
      </c>
      <c r="K31" s="444">
        <v>290</v>
      </c>
      <c r="L31" s="444">
        <v>621</v>
      </c>
      <c r="Q31" s="96"/>
      <c r="S31" s="96"/>
    </row>
    <row r="32" spans="1:19" ht="17">
      <c r="A32" s="102" t="s">
        <v>84</v>
      </c>
      <c r="B32" s="311">
        <f>(D32+F32)*$B$12*('Clés de répartition'!F107*'Privé - Temps'!$B$11*2)/'Privé - Achat&amp;Utilisation'!$B$11</f>
        <v>4017.2844784040581</v>
      </c>
      <c r="C32" s="441">
        <v>3888</v>
      </c>
      <c r="D32" s="442">
        <f>C32/'Clés de répartition'!G148</f>
        <v>2517.2054358170885</v>
      </c>
      <c r="E32" s="442">
        <f t="shared" si="0"/>
        <v>2858</v>
      </c>
      <c r="F32" s="54">
        <f>E32/'Clés de répartition'!G148</f>
        <v>1850.353172727685</v>
      </c>
      <c r="G32" s="443">
        <v>249</v>
      </c>
      <c r="H32" s="444">
        <v>1894</v>
      </c>
      <c r="I32" s="444">
        <v>715</v>
      </c>
      <c r="J32" s="443">
        <v>3425</v>
      </c>
      <c r="K32" s="444">
        <v>521</v>
      </c>
      <c r="L32" s="444">
        <v>907</v>
      </c>
      <c r="Q32" s="96"/>
      <c r="S32" s="96"/>
    </row>
    <row r="33" spans="1:19">
      <c r="A33" s="78" t="s">
        <v>85</v>
      </c>
      <c r="B33" s="311">
        <f>(D33+F33)*$B$12*('Clés de répartition'!F108*'Privé - Temps'!$B$11*2)/'Privé - Achat&amp;Utilisation'!$B$11</f>
        <v>1072.2726170974984</v>
      </c>
      <c r="C33" s="445">
        <v>2118</v>
      </c>
      <c r="D33" s="446">
        <f>C33/'Clés de répartition'!G149</f>
        <v>1724.0537240537242</v>
      </c>
      <c r="E33" s="442">
        <f t="shared" si="0"/>
        <v>2573</v>
      </c>
      <c r="F33" s="54">
        <f>E33/'Clés de répartition'!G149</f>
        <v>2094.4240944240946</v>
      </c>
      <c r="G33" s="443">
        <v>341</v>
      </c>
      <c r="H33" s="234">
        <v>1619</v>
      </c>
      <c r="I33" s="234">
        <v>613</v>
      </c>
      <c r="J33" s="443">
        <v>2567</v>
      </c>
      <c r="K33" s="234">
        <v>402</v>
      </c>
      <c r="L33" s="234">
        <v>937</v>
      </c>
      <c r="Q33" s="96"/>
      <c r="S33" s="96"/>
    </row>
    <row r="34" spans="1:19">
      <c r="A34" s="103" t="s">
        <v>409</v>
      </c>
      <c r="B34" s="311"/>
      <c r="C34" s="311"/>
      <c r="D34" s="311"/>
      <c r="E34" s="311"/>
      <c r="F34" s="311"/>
      <c r="G34" s="313"/>
      <c r="H34" s="311"/>
      <c r="I34" s="311"/>
      <c r="J34" s="313"/>
      <c r="K34" s="311"/>
      <c r="L34" s="311"/>
      <c r="Q34" s="96"/>
      <c r="S34" s="96"/>
    </row>
    <row r="35" spans="1:19">
      <c r="A35" s="597" t="s">
        <v>154</v>
      </c>
      <c r="B35" s="311">
        <f>(D35+F35)*$B$12*('Clés de répartition'!F110*'Privé - Temps'!$B$11*2)/'Privé - Achat&amp;Utilisation'!$B$11</f>
        <v>1068.889815770352</v>
      </c>
      <c r="C35" s="307">
        <v>2057</v>
      </c>
      <c r="D35" s="308">
        <f>C35/'Clés de répartition'!G151</f>
        <v>1522.3836835479435</v>
      </c>
      <c r="E35" s="307">
        <f t="shared" ref="E35:E53" si="1">SUM(G35:I35)</f>
        <v>1506</v>
      </c>
      <c r="F35" s="53">
        <f>E35/'Clés de répartition'!G151</f>
        <v>1114.5891236865352</v>
      </c>
      <c r="G35" s="155">
        <v>100</v>
      </c>
      <c r="H35" s="53">
        <v>987</v>
      </c>
      <c r="I35" s="53">
        <v>419</v>
      </c>
      <c r="J35" s="155">
        <v>1768</v>
      </c>
      <c r="K35" s="53">
        <v>230</v>
      </c>
      <c r="L35" s="53">
        <v>489</v>
      </c>
      <c r="Q35" s="96"/>
      <c r="S35" s="96"/>
    </row>
    <row r="36" spans="1:19">
      <c r="A36" s="597" t="s">
        <v>155</v>
      </c>
      <c r="B36" s="311">
        <f>(D36+F36)*$B$12*('Clés de répartition'!F111*'Privé - Temps'!$B$11*2)/'Privé - Achat&amp;Utilisation'!$B$11</f>
        <v>1131.7723520789311</v>
      </c>
      <c r="C36" s="307">
        <v>1977</v>
      </c>
      <c r="D36" s="308">
        <f>C36/'Clés de répartition'!G152</f>
        <v>1422.0487056491331</v>
      </c>
      <c r="E36" s="307">
        <f t="shared" si="1"/>
        <v>1433</v>
      </c>
      <c r="F36" s="53">
        <f>E36/'Clés de répartition'!G152</f>
        <v>1030.7515403111825</v>
      </c>
      <c r="G36" s="155">
        <v>89</v>
      </c>
      <c r="H36" s="53">
        <v>908</v>
      </c>
      <c r="I36" s="53">
        <v>436</v>
      </c>
      <c r="J36" s="155">
        <v>1795</v>
      </c>
      <c r="K36" s="53">
        <v>229</v>
      </c>
      <c r="L36" s="53">
        <v>490</v>
      </c>
    </row>
    <row r="37" spans="1:19">
      <c r="A37" s="597" t="s">
        <v>156</v>
      </c>
      <c r="B37" s="311">
        <f>(D37+F37)*$B$12*('Clés de répartition'!F112*'Privé - Temps'!$B$11*2)/'Privé - Achat&amp;Utilisation'!$B$11</f>
        <v>774.80902084502327</v>
      </c>
      <c r="C37" s="307">
        <v>1778</v>
      </c>
      <c r="D37" s="308">
        <f>C37/'Clés de répartition'!G153</f>
        <v>1270.8741809015214</v>
      </c>
      <c r="E37" s="307">
        <f t="shared" si="1"/>
        <v>1360</v>
      </c>
      <c r="F37" s="53">
        <f>E37/'Clés de répartition'!G153</f>
        <v>972.09723623513457</v>
      </c>
      <c r="G37" s="155">
        <v>105</v>
      </c>
      <c r="H37" s="53">
        <v>880</v>
      </c>
      <c r="I37" s="53">
        <v>375</v>
      </c>
      <c r="J37" s="155">
        <v>1461</v>
      </c>
      <c r="K37" s="53">
        <v>192</v>
      </c>
      <c r="L37" s="53">
        <v>464</v>
      </c>
    </row>
    <row r="38" spans="1:19">
      <c r="A38" s="597" t="s">
        <v>403</v>
      </c>
      <c r="B38" s="311">
        <f>(D38+F38)*$B$12*('Clés de répartition'!F113*'Privé - Temps'!$B$11*2)/'Privé - Achat&amp;Utilisation'!$B$11</f>
        <v>2731.8210634871225</v>
      </c>
      <c r="C38" s="307">
        <v>4000</v>
      </c>
      <c r="D38" s="308">
        <f>C38/'Clés de répartition'!G154</f>
        <v>2693.6524216853559</v>
      </c>
      <c r="E38" s="307">
        <f t="shared" si="1"/>
        <v>2278</v>
      </c>
      <c r="F38" s="53">
        <f>E38/'Clés de répartition'!G154</f>
        <v>1534.0350541498101</v>
      </c>
      <c r="G38" s="155">
        <v>106</v>
      </c>
      <c r="H38" s="53">
        <v>1617</v>
      </c>
      <c r="I38" s="53">
        <v>555</v>
      </c>
      <c r="J38" s="155">
        <v>3206</v>
      </c>
      <c r="K38" s="53">
        <v>407</v>
      </c>
      <c r="L38" s="53">
        <v>789</v>
      </c>
    </row>
    <row r="39" spans="1:19">
      <c r="A39" s="597" t="s">
        <v>168</v>
      </c>
      <c r="B39" s="311">
        <f>(D39+F39)*$B$12*('Clés de répartition'!F114*'Privé - Temps'!$B$11*2)/'Privé - Achat&amp;Utilisation'!$B$11</f>
        <v>1233.5020652570431</v>
      </c>
      <c r="C39" s="307">
        <v>2165</v>
      </c>
      <c r="D39" s="308">
        <f>C39/'Clés de répartition'!G155</f>
        <v>1544.5208161991688</v>
      </c>
      <c r="E39" s="307">
        <f t="shared" si="1"/>
        <v>1484</v>
      </c>
      <c r="F39" s="53">
        <f>E39/'Clés de répartition'!G155</f>
        <v>1058.6923285171208</v>
      </c>
      <c r="G39" s="155">
        <v>81</v>
      </c>
      <c r="H39" s="53">
        <v>932</v>
      </c>
      <c r="I39" s="53">
        <v>471</v>
      </c>
      <c r="J39" s="155">
        <v>1916</v>
      </c>
      <c r="K39" s="53">
        <v>248</v>
      </c>
      <c r="L39" s="53">
        <v>502</v>
      </c>
    </row>
    <row r="40" spans="1:19">
      <c r="A40" s="597" t="s">
        <v>167</v>
      </c>
      <c r="B40" s="311">
        <f>(D40+F40)*$B$12*('Clés de répartition'!F115*'Privé - Temps'!$B$11*2)/'Privé - Achat&amp;Utilisation'!$B$11</f>
        <v>1045.8269467022881</v>
      </c>
      <c r="C40" s="307">
        <v>1807</v>
      </c>
      <c r="D40" s="308">
        <f>C40/'Clés de répartition'!G156</f>
        <v>1325.8325306718186</v>
      </c>
      <c r="E40" s="307">
        <f t="shared" si="1"/>
        <v>1382</v>
      </c>
      <c r="F40" s="53">
        <f>E40/'Clés de répartition'!G156</f>
        <v>1014.0014152675448</v>
      </c>
      <c r="G40" s="155">
        <v>72</v>
      </c>
      <c r="H40" s="53">
        <v>903</v>
      </c>
      <c r="I40" s="53">
        <v>407</v>
      </c>
      <c r="J40" s="155">
        <v>1934</v>
      </c>
      <c r="K40" s="53">
        <v>228</v>
      </c>
      <c r="L40" s="53">
        <v>489</v>
      </c>
    </row>
    <row r="41" spans="1:19">
      <c r="A41" s="597" t="s">
        <v>170</v>
      </c>
      <c r="B41" s="311">
        <f>(D41+F41)*$B$12*('Clés de répartition'!F116*'Privé - Temps'!$B$11*2)/'Privé - Achat&amp;Utilisation'!$B$11</f>
        <v>861.8320049591282</v>
      </c>
      <c r="C41" s="307">
        <v>1621</v>
      </c>
      <c r="D41" s="308">
        <f>C41/'Clés de répartition'!G157</f>
        <v>1191.6722165634935</v>
      </c>
      <c r="E41" s="307">
        <f t="shared" si="1"/>
        <v>1196</v>
      </c>
      <c r="F41" s="53">
        <f>E41/'Clés de répartition'!G157</f>
        <v>879.23502221464423</v>
      </c>
      <c r="G41" s="155">
        <v>77</v>
      </c>
      <c r="H41" s="53">
        <v>734</v>
      </c>
      <c r="I41" s="53">
        <v>385</v>
      </c>
      <c r="J41" s="155">
        <v>1597</v>
      </c>
      <c r="K41" s="53">
        <v>211</v>
      </c>
      <c r="L41" s="53">
        <v>423</v>
      </c>
    </row>
    <row r="42" spans="1:19">
      <c r="A42" s="597" t="s">
        <v>171</v>
      </c>
      <c r="B42" s="311">
        <f>(D42+F42)*$B$12*('Clés de répartition'!F117*'Privé - Temps'!$B$11*2)/'Privé - Achat&amp;Utilisation'!$B$11</f>
        <v>888.91187077162397</v>
      </c>
      <c r="C42" s="307">
        <v>1599</v>
      </c>
      <c r="D42" s="308">
        <f>C42/'Clés de répartition'!G158</f>
        <v>1179.5398106011096</v>
      </c>
      <c r="E42" s="307">
        <f t="shared" si="1"/>
        <v>1347</v>
      </c>
      <c r="F42" s="53">
        <f>E42/'Clés de répartition'!G158</f>
        <v>993.6461068666008</v>
      </c>
      <c r="G42" s="155">
        <v>73</v>
      </c>
      <c r="H42" s="53">
        <v>875</v>
      </c>
      <c r="I42" s="53">
        <v>399</v>
      </c>
      <c r="J42" s="155">
        <v>1549</v>
      </c>
      <c r="K42" s="53">
        <v>210</v>
      </c>
      <c r="L42" s="53">
        <v>447</v>
      </c>
    </row>
    <row r="43" spans="1:19">
      <c r="A43" s="597" t="s">
        <v>172</v>
      </c>
      <c r="B43" s="311">
        <f>(D43+F43)*$B$12*('Clés de répartition'!F118*'Privé - Temps'!$B$11*2)/'Privé - Achat&amp;Utilisation'!$B$11</f>
        <v>954.64004886299244</v>
      </c>
      <c r="C43" s="307">
        <v>2302</v>
      </c>
      <c r="D43" s="308">
        <f>C43/'Clés de répartition'!G159</f>
        <v>1674.5377425319707</v>
      </c>
      <c r="E43" s="307">
        <f t="shared" si="1"/>
        <v>2048</v>
      </c>
      <c r="F43" s="53">
        <f>E43/'Clés de répartition'!G159</f>
        <v>1489.771197526271</v>
      </c>
      <c r="G43" s="155">
        <v>201</v>
      </c>
      <c r="H43" s="53">
        <v>1275</v>
      </c>
      <c r="I43" s="53">
        <v>572</v>
      </c>
      <c r="J43" s="155">
        <v>2189</v>
      </c>
      <c r="K43" s="53">
        <v>302</v>
      </c>
      <c r="L43" s="53">
        <v>687</v>
      </c>
    </row>
    <row r="44" spans="1:19">
      <c r="A44" s="597" t="s">
        <v>173</v>
      </c>
      <c r="B44" s="311">
        <f>(D44+F44)*$B$12*('Clés de répartition'!F119*'Privé - Temps'!$B$11*2)/'Privé - Achat&amp;Utilisation'!$B$11</f>
        <v>1832.9557457491176</v>
      </c>
      <c r="C44" s="307">
        <v>3362</v>
      </c>
      <c r="D44" s="308">
        <f>C44/'Clés de répartition'!G160</f>
        <v>2069.8126196619473</v>
      </c>
      <c r="E44" s="307">
        <f t="shared" si="1"/>
        <v>1909</v>
      </c>
      <c r="F44" s="53">
        <f>E44/'Clés de répartition'!G160</f>
        <v>1175.2743280590889</v>
      </c>
      <c r="G44" s="155">
        <v>98</v>
      </c>
      <c r="H44" s="53">
        <v>1327</v>
      </c>
      <c r="I44" s="53">
        <v>484</v>
      </c>
      <c r="J44" s="155">
        <v>2401</v>
      </c>
      <c r="K44" s="53">
        <v>301</v>
      </c>
      <c r="L44" s="53">
        <v>632</v>
      </c>
    </row>
    <row r="45" spans="1:19">
      <c r="A45" s="597" t="s">
        <v>350</v>
      </c>
      <c r="B45" s="311">
        <f>(D45+F45)*$B$12*('Clés de répartition'!F120*'Privé - Temps'!$B$11*2)/'Privé - Achat&amp;Utilisation'!$B$11</f>
        <v>757.29364970041854</v>
      </c>
      <c r="C45" s="307">
        <v>1494</v>
      </c>
      <c r="D45" s="308">
        <f>C45/'Clés de répartition'!G161</f>
        <v>1068.5354391362125</v>
      </c>
      <c r="E45" s="307">
        <f t="shared" si="1"/>
        <v>1247</v>
      </c>
      <c r="F45" s="53">
        <f>E45/'Clés de répartition'!G161</f>
        <v>891.87663494167134</v>
      </c>
      <c r="G45" s="155">
        <v>106</v>
      </c>
      <c r="H45" s="53">
        <v>751</v>
      </c>
      <c r="I45" s="53">
        <v>390</v>
      </c>
      <c r="J45" s="155">
        <v>1453</v>
      </c>
      <c r="K45" s="53">
        <v>200</v>
      </c>
      <c r="L45" s="53">
        <v>407</v>
      </c>
    </row>
    <row r="46" spans="1:19">
      <c r="A46" s="597" t="s">
        <v>174</v>
      </c>
      <c r="B46" s="311">
        <f>(D46+F46)*$B$12*('Clés de répartition'!F121*'Privé - Temps'!$B$11*2)/'Privé - Achat&amp;Utilisation'!$B$11</f>
        <v>1707.2910148351723</v>
      </c>
      <c r="C46" s="307">
        <v>2806</v>
      </c>
      <c r="D46" s="308">
        <f>C46/'Clés de répartition'!G162</f>
        <v>1840.9706485201832</v>
      </c>
      <c r="E46" s="307">
        <f t="shared" si="1"/>
        <v>1631</v>
      </c>
      <c r="F46" s="53">
        <f>E46/'Clés de répartition'!G162</f>
        <v>1070.0723904976546</v>
      </c>
      <c r="G46" s="155">
        <v>77</v>
      </c>
      <c r="H46" s="53">
        <v>1120</v>
      </c>
      <c r="I46" s="53">
        <v>434</v>
      </c>
      <c r="J46" s="155">
        <v>2236</v>
      </c>
      <c r="K46" s="53">
        <v>269</v>
      </c>
      <c r="L46" s="53">
        <v>573</v>
      </c>
    </row>
    <row r="47" spans="1:19">
      <c r="A47" s="597" t="s">
        <v>175</v>
      </c>
      <c r="B47" s="311">
        <f>(D47+F47)*$B$12*('Clés de répartition'!F122*'Privé - Temps'!$B$11*2)/'Privé - Achat&amp;Utilisation'!$B$11</f>
        <v>776.38426010383239</v>
      </c>
      <c r="C47" s="307">
        <v>1411</v>
      </c>
      <c r="D47" s="308">
        <f>C47/'Clés de répartition'!G163</f>
        <v>1121.8040129075625</v>
      </c>
      <c r="E47" s="307">
        <f t="shared" si="1"/>
        <v>1169</v>
      </c>
      <c r="F47" s="53">
        <f>E47/'Clés de répartition'!G163</f>
        <v>929.40389162929887</v>
      </c>
      <c r="G47" s="155">
        <v>91</v>
      </c>
      <c r="H47" s="53">
        <v>707</v>
      </c>
      <c r="I47" s="53">
        <v>371</v>
      </c>
      <c r="J47" s="155">
        <v>1435</v>
      </c>
      <c r="K47" s="53">
        <v>198</v>
      </c>
      <c r="L47" s="53">
        <v>395</v>
      </c>
    </row>
    <row r="48" spans="1:19">
      <c r="A48" s="597" t="s">
        <v>176</v>
      </c>
      <c r="B48" s="311">
        <f>(D48+F48)*$B$12*('Clés de répartition'!F123*'Privé - Temps'!$B$11*2)/'Privé - Achat&amp;Utilisation'!$B$11</f>
        <v>1247.4433541984868</v>
      </c>
      <c r="C48" s="307">
        <v>2911</v>
      </c>
      <c r="D48" s="308">
        <f>C48/'Clés de répartition'!G164</f>
        <v>1897.2126945603584</v>
      </c>
      <c r="E48" s="307">
        <f t="shared" si="1"/>
        <v>1817</v>
      </c>
      <c r="F48" s="53">
        <f>E48/'Clés de répartition'!G164</f>
        <v>1184.2100535953869</v>
      </c>
      <c r="G48" s="155">
        <v>103</v>
      </c>
      <c r="H48" s="53">
        <v>1338</v>
      </c>
      <c r="I48" s="53">
        <v>376</v>
      </c>
      <c r="J48" s="155">
        <v>1967</v>
      </c>
      <c r="K48" s="53">
        <v>241</v>
      </c>
      <c r="L48" s="53">
        <v>542</v>
      </c>
    </row>
    <row r="49" spans="1:12">
      <c r="A49" s="597" t="s">
        <v>177</v>
      </c>
      <c r="B49" s="311">
        <f>(D49+F49)*$B$12*('Clés de répartition'!F124*'Privé - Temps'!$B$11*2)/'Privé - Achat&amp;Utilisation'!$B$11</f>
        <v>886.48916680110574</v>
      </c>
      <c r="C49" s="307">
        <v>1694</v>
      </c>
      <c r="D49" s="308">
        <f>C49/'Clés de répartition'!G165</f>
        <v>1209.3432588809412</v>
      </c>
      <c r="E49" s="307">
        <f t="shared" si="1"/>
        <v>1419</v>
      </c>
      <c r="F49" s="53">
        <f>E49/'Clés de répartition'!G165</f>
        <v>1013.0213012703988</v>
      </c>
      <c r="G49" s="155">
        <v>75</v>
      </c>
      <c r="H49" s="53">
        <v>946</v>
      </c>
      <c r="I49" s="53">
        <v>398</v>
      </c>
      <c r="J49" s="155">
        <v>2009</v>
      </c>
      <c r="K49" s="53">
        <v>238</v>
      </c>
      <c r="L49" s="53">
        <v>506</v>
      </c>
    </row>
    <row r="50" spans="1:12">
      <c r="A50" s="597" t="s">
        <v>351</v>
      </c>
      <c r="B50" s="311">
        <f>(D50+F50)*$B$12*('Clés de répartition'!F125*'Privé - Temps'!$B$11*2)/'Privé - Achat&amp;Utilisation'!$B$11</f>
        <v>932.11565956986738</v>
      </c>
      <c r="C50" s="307">
        <v>1568</v>
      </c>
      <c r="D50" s="308">
        <f>C50/'Clés de répartition'!G166</f>
        <v>1143.195256724759</v>
      </c>
      <c r="E50" s="307">
        <f t="shared" si="1"/>
        <v>1216</v>
      </c>
      <c r="F50" s="53">
        <f>E50/'Clés de répartition'!G166</f>
        <v>886.55958684777227</v>
      </c>
      <c r="G50" s="155">
        <v>93</v>
      </c>
      <c r="H50" s="53">
        <v>745</v>
      </c>
      <c r="I50" s="53">
        <v>378</v>
      </c>
      <c r="J50" s="155">
        <v>1453</v>
      </c>
      <c r="K50" s="53">
        <v>197</v>
      </c>
      <c r="L50" s="53">
        <v>422</v>
      </c>
    </row>
    <row r="51" spans="1:12">
      <c r="A51" s="597" t="s">
        <v>856</v>
      </c>
      <c r="B51" s="311">
        <f>(D51+F51)*$B$12*('Clés de répartition'!F126*'Privé - Temps'!$B$11*2)/'Privé - Achat&amp;Utilisation'!$B$11</f>
        <v>1302.8370402869446</v>
      </c>
      <c r="C51" s="307">
        <v>2048</v>
      </c>
      <c r="D51" s="308">
        <f>C51/'Clés de répartition'!G167</f>
        <v>1553.3934404945082</v>
      </c>
      <c r="E51" s="307">
        <f t="shared" si="1"/>
        <v>1487</v>
      </c>
      <c r="F51" s="53">
        <f>E51/'Clés de répartition'!G167</f>
        <v>1127.8789287184247</v>
      </c>
      <c r="G51" s="155">
        <v>111</v>
      </c>
      <c r="H51" s="53">
        <v>960</v>
      </c>
      <c r="I51" s="53">
        <v>416</v>
      </c>
      <c r="J51" s="155">
        <v>1768</v>
      </c>
      <c r="K51" s="53">
        <v>227</v>
      </c>
      <c r="L51" s="53">
        <v>538</v>
      </c>
    </row>
    <row r="52" spans="1:12">
      <c r="A52" s="597" t="s">
        <v>178</v>
      </c>
      <c r="B52" s="311">
        <f>(D52+F52)*$B$12*('Clés de répartition'!F127*'Privé - Temps'!$B$11*2)/'Privé - Achat&amp;Utilisation'!$B$11</f>
        <v>917.33643816954418</v>
      </c>
      <c r="C52" s="307">
        <v>1728</v>
      </c>
      <c r="D52" s="308">
        <f>C52/'Clés de répartition'!G168</f>
        <v>1319.2585227758304</v>
      </c>
      <c r="E52" s="307">
        <f t="shared" si="1"/>
        <v>1287</v>
      </c>
      <c r="F52" s="53">
        <f>E52/'Clés de répartition'!G168</f>
        <v>982.57275394241526</v>
      </c>
      <c r="G52" s="155">
        <v>122</v>
      </c>
      <c r="H52" s="53">
        <v>802</v>
      </c>
      <c r="I52" s="53">
        <v>363</v>
      </c>
      <c r="J52" s="155">
        <v>1380</v>
      </c>
      <c r="K52" s="53">
        <v>177</v>
      </c>
      <c r="L52" s="53">
        <v>421</v>
      </c>
    </row>
    <row r="53" spans="1:12" ht="17" thickBot="1">
      <c r="A53" s="597" t="s">
        <v>179</v>
      </c>
      <c r="B53" s="364">
        <f>(D53+F53)*$B$12*('Clés de répartition'!F128*'Privé - Temps'!$B$11*2)/'Privé - Achat&amp;Utilisation'!$B$11</f>
        <v>734.60766570230464</v>
      </c>
      <c r="C53" s="310">
        <v>1392</v>
      </c>
      <c r="D53" s="309">
        <f>C53/'Clés de répartition'!G169</f>
        <v>959.78590110638572</v>
      </c>
      <c r="E53" s="310">
        <f t="shared" si="1"/>
        <v>1205</v>
      </c>
      <c r="F53" s="97">
        <f>E53/'Clés de répartition'!G169</f>
        <v>830.84914571350203</v>
      </c>
      <c r="G53" s="362">
        <v>76</v>
      </c>
      <c r="H53" s="97">
        <v>756</v>
      </c>
      <c r="I53" s="97">
        <v>373</v>
      </c>
      <c r="J53" s="362">
        <v>1367</v>
      </c>
      <c r="K53" s="97">
        <v>194</v>
      </c>
      <c r="L53" s="97">
        <v>398</v>
      </c>
    </row>
    <row r="54" spans="1:12">
      <c r="D54" s="53"/>
    </row>
    <row r="55" spans="1:12">
      <c r="A55" s="702" t="s">
        <v>206</v>
      </c>
      <c r="B55" s="702"/>
      <c r="C55" s="702"/>
      <c r="D55" s="702"/>
      <c r="E55" s="702"/>
    </row>
    <row r="56" spans="1:12">
      <c r="A56" s="105" t="s">
        <v>68</v>
      </c>
      <c r="B56" s="105"/>
      <c r="C56" s="78"/>
      <c r="D56" s="78"/>
      <c r="E56" s="78"/>
    </row>
    <row r="57" spans="1:12">
      <c r="A57" s="230" t="s">
        <v>676</v>
      </c>
      <c r="B57" s="78"/>
      <c r="C57" s="78"/>
      <c r="D57" s="78"/>
      <c r="E57" s="78"/>
      <c r="K57" s="78"/>
      <c r="L57" s="78"/>
    </row>
    <row r="58" spans="1:12">
      <c r="A58" s="702" t="s">
        <v>207</v>
      </c>
      <c r="B58" s="702"/>
      <c r="C58" s="702"/>
      <c r="D58" s="702"/>
      <c r="E58" s="702"/>
      <c r="F58" s="54"/>
      <c r="K58" s="78"/>
      <c r="L58" s="78"/>
    </row>
    <row r="59" spans="1:12">
      <c r="A59" s="104" t="s">
        <v>68</v>
      </c>
      <c r="B59" s="104"/>
      <c r="C59" s="78"/>
      <c r="D59" s="78"/>
      <c r="E59" s="78"/>
      <c r="J59" s="78"/>
      <c r="K59" s="78"/>
      <c r="L59" s="78"/>
    </row>
    <row r="60" spans="1:12">
      <c r="J60" s="78"/>
      <c r="K60" s="78"/>
      <c r="L60" s="78"/>
    </row>
    <row r="61" spans="1:12">
      <c r="A61" s="383" t="s">
        <v>675</v>
      </c>
      <c r="B61" s="45"/>
      <c r="F61" s="78"/>
      <c r="G61" s="78"/>
      <c r="H61" s="78"/>
      <c r="I61" s="78"/>
      <c r="J61" s="78"/>
      <c r="K61" s="78"/>
      <c r="L61" s="78"/>
    </row>
    <row r="62" spans="1:12">
      <c r="A62" s="23" t="s">
        <v>1134</v>
      </c>
      <c r="B62" s="45"/>
      <c r="F62" s="78"/>
      <c r="G62" s="78"/>
      <c r="H62" s="78"/>
      <c r="I62" s="78"/>
      <c r="J62" s="78"/>
      <c r="K62" s="78"/>
      <c r="L62" s="78"/>
    </row>
    <row r="63" spans="1:12" ht="18" customHeight="1">
      <c r="B63" s="703" t="s">
        <v>10</v>
      </c>
      <c r="C63" s="703"/>
      <c r="D63" s="703"/>
      <c r="E63" s="630"/>
      <c r="F63" s="78"/>
      <c r="G63" s="78"/>
      <c r="H63" s="78"/>
      <c r="I63" s="78"/>
      <c r="J63" s="78"/>
      <c r="K63" s="78"/>
      <c r="L63" s="78"/>
    </row>
    <row r="64" spans="1:12" ht="17">
      <c r="B64" s="392" t="s">
        <v>587</v>
      </c>
      <c r="C64" s="304" t="s">
        <v>651</v>
      </c>
      <c r="D64" s="631" t="s">
        <v>1122</v>
      </c>
      <c r="E64" s="241"/>
      <c r="F64" s="78"/>
      <c r="G64" s="78"/>
      <c r="H64" s="78"/>
      <c r="I64" s="78"/>
      <c r="J64" s="78"/>
      <c r="K64" s="78"/>
      <c r="L64" s="78"/>
    </row>
    <row r="65" spans="1:12" ht="17">
      <c r="A65" s="298" t="s">
        <v>202</v>
      </c>
      <c r="B65" s="393">
        <f>Fonctions!N2*$B$103*'Privé - Temps'!$B$11</f>
        <v>1017.1874775975069</v>
      </c>
      <c r="C65" s="312">
        <f>Fonctions!P2*'Privé - Temps'!$B$11*$B$14</f>
        <v>2062.2806077688738</v>
      </c>
      <c r="D65" s="632">
        <f>B65/$B$103*$B$104</f>
        <v>85.529277395586163</v>
      </c>
      <c r="E65" s="312"/>
      <c r="F65" s="78"/>
      <c r="G65" s="78"/>
      <c r="H65" s="78"/>
      <c r="I65" s="78"/>
      <c r="J65" s="78"/>
      <c r="K65" s="78"/>
      <c r="L65" s="78"/>
    </row>
    <row r="66" spans="1:12">
      <c r="A66" s="19" t="s">
        <v>71</v>
      </c>
      <c r="B66" s="393">
        <f>Fonctions!N3*$B$103*'Privé - Temps'!$B$11</f>
        <v>1117.2700394481099</v>
      </c>
      <c r="C66" s="312">
        <f>Fonctions!P3*'Privé - Temps'!$B$11*$B$14</f>
        <v>2444.4571133085528</v>
      </c>
      <c r="D66" s="632">
        <f t="shared" ref="D66:D100" si="2">B66/$B$103*$B$104</f>
        <v>93.944627941582809</v>
      </c>
      <c r="E66" s="54"/>
      <c r="L66" s="78"/>
    </row>
    <row r="67" spans="1:12">
      <c r="A67" s="19" t="s">
        <v>72</v>
      </c>
      <c r="B67" s="393">
        <f>Fonctions!N4*$B$103*'Privé - Temps'!$B$11</f>
        <v>1266.1410613096941</v>
      </c>
      <c r="C67" s="312">
        <f>Fonctions!P4*'Privé - Temps'!$B$11*$B$14</f>
        <v>2746.4536539712144</v>
      </c>
      <c r="D67" s="632">
        <f t="shared" si="2"/>
        <v>106.46231146147579</v>
      </c>
      <c r="L67" s="78"/>
    </row>
    <row r="68" spans="1:12">
      <c r="A68" s="19" t="s">
        <v>73</v>
      </c>
      <c r="B68" s="393">
        <f>Fonctions!N5*$B$103*'Privé - Temps'!$B$11</f>
        <v>851.26799522163242</v>
      </c>
      <c r="C68" s="312">
        <f>Fonctions!P5*'Privé - Temps'!$B$11*$B$14</f>
        <v>1622.4493844158872</v>
      </c>
      <c r="D68" s="632">
        <f t="shared" si="2"/>
        <v>71.57808968830544</v>
      </c>
      <c r="L68" s="78"/>
    </row>
    <row r="69" spans="1:12">
      <c r="A69" s="19" t="s">
        <v>74</v>
      </c>
      <c r="B69" s="393">
        <f>Fonctions!N6*$B$103*'Privé - Temps'!$B$11</f>
        <v>1157.6674424626133</v>
      </c>
      <c r="C69" s="312">
        <f>Fonctions!P6*'Privé - Temps'!$B$11*$B$14</f>
        <v>2437.1232577863661</v>
      </c>
      <c r="D69" s="632">
        <f t="shared" si="2"/>
        <v>97.341406573432963</v>
      </c>
      <c r="L69" s="78"/>
    </row>
    <row r="70" spans="1:12">
      <c r="A70" s="19" t="s">
        <v>293</v>
      </c>
      <c r="B70" s="393">
        <f>Fonctions!N7*$B$103*'Privé - Temps'!$B$11</f>
        <v>1015.3569721626401</v>
      </c>
      <c r="C70" s="312">
        <f>Fonctions!P7*'Privé - Temps'!$B$11*$B$14</f>
        <v>2170.6536017971011</v>
      </c>
      <c r="D70" s="632">
        <f t="shared" si="2"/>
        <v>85.375361022684459</v>
      </c>
      <c r="L70" s="78"/>
    </row>
    <row r="71" spans="1:12">
      <c r="A71" s="19" t="s">
        <v>76</v>
      </c>
      <c r="B71" s="393">
        <f>Fonctions!N8*$B$103*'Privé - Temps'!$B$11</f>
        <v>699.12403876126314</v>
      </c>
      <c r="C71" s="312">
        <f>Fonctions!P8*'Privé - Temps'!$B$11*$B$14</f>
        <v>1356.8250633698708</v>
      </c>
      <c r="D71" s="632">
        <f t="shared" si="2"/>
        <v>58.785204460406511</v>
      </c>
      <c r="L71" s="78"/>
    </row>
    <row r="72" spans="1:12">
      <c r="A72" s="19" t="s">
        <v>77</v>
      </c>
      <c r="B72" s="393">
        <f>Fonctions!N9*$B$103*'Privé - Temps'!$B$11</f>
        <v>1327.6648557848082</v>
      </c>
      <c r="C72" s="312">
        <f>Fonctions!P9*'Privé - Temps'!$B$11*$B$14</f>
        <v>2866.6412915326473</v>
      </c>
      <c r="D72" s="632">
        <f t="shared" si="2"/>
        <v>111.63548336929318</v>
      </c>
      <c r="L72" s="78"/>
    </row>
    <row r="73" spans="1:12">
      <c r="A73" s="19" t="s">
        <v>79</v>
      </c>
      <c r="B73" s="393">
        <f>Fonctions!N10*$B$103*'Privé - Temps'!$B$11</f>
        <v>1012.316055762305</v>
      </c>
      <c r="C73" s="312">
        <f>Fonctions!P10*'Privé - Temps'!$B$11*$B$14</f>
        <v>2039.6045299731302</v>
      </c>
      <c r="D73" s="632">
        <f t="shared" si="2"/>
        <v>85.119668352386014</v>
      </c>
      <c r="L73" s="78"/>
    </row>
    <row r="74" spans="1:12">
      <c r="A74" s="19" t="s">
        <v>80</v>
      </c>
      <c r="B74" s="393">
        <f>Fonctions!N11*$B$103*'Privé - Temps'!$B$11</f>
        <v>1145.6005724033816</v>
      </c>
      <c r="C74" s="312">
        <f>Fonctions!P11*'Privé - Temps'!$B$11*$B$14</f>
        <v>2339.8897538660995</v>
      </c>
      <c r="D74" s="632">
        <f t="shared" si="2"/>
        <v>96.326774856740812</v>
      </c>
      <c r="E74" s="312"/>
      <c r="F74" s="78"/>
      <c r="G74" s="78"/>
      <c r="H74" s="78"/>
      <c r="I74" s="78"/>
      <c r="J74" s="78"/>
      <c r="K74" s="78"/>
      <c r="L74" s="78"/>
    </row>
    <row r="75" spans="1:12">
      <c r="A75" s="19" t="s">
        <v>81</v>
      </c>
      <c r="B75" s="393">
        <f>Fonctions!N12*$B$103*'Privé - Temps'!$B$11</f>
        <v>1064.4330874032405</v>
      </c>
      <c r="C75" s="312">
        <f>Fonctions!P12*'Privé - Temps'!$B$11*$B$14</f>
        <v>2113.8723974426721</v>
      </c>
      <c r="D75" s="632">
        <f t="shared" si="2"/>
        <v>89.501881223095296</v>
      </c>
      <c r="E75" s="312"/>
      <c r="F75" s="78"/>
      <c r="G75" s="78"/>
      <c r="H75" s="78"/>
      <c r="I75" s="78"/>
      <c r="J75" s="78"/>
      <c r="K75" s="78"/>
      <c r="L75" s="78"/>
    </row>
    <row r="76" spans="1:12">
      <c r="A76" s="19" t="s">
        <v>78</v>
      </c>
      <c r="B76" s="393">
        <f>Fonctions!N13*$B$103*'Privé - Temps'!$B$11</f>
        <v>840.11832789924881</v>
      </c>
      <c r="C76" s="312">
        <f>Fonctions!P13*'Privé - Temps'!$B$11*$B$14</f>
        <v>1689.0348321596241</v>
      </c>
      <c r="D76" s="632">
        <f t="shared" si="2"/>
        <v>70.64058012366057</v>
      </c>
      <c r="E76" s="312"/>
    </row>
    <row r="77" spans="1:12">
      <c r="A77" s="19" t="s">
        <v>82</v>
      </c>
      <c r="B77" s="393">
        <f>Fonctions!N14*$B$103*'Privé - Temps'!$B$11</f>
        <v>952.87911256919779</v>
      </c>
      <c r="C77" s="312">
        <f>Fonctions!P14*'Privé - Temps'!$B$11*$B$14</f>
        <v>2025.7506547949006</v>
      </c>
      <c r="D77" s="632">
        <f t="shared" si="2"/>
        <v>80.121967423235859</v>
      </c>
      <c r="E77" s="312"/>
    </row>
    <row r="78" spans="1:12">
      <c r="A78" s="19" t="s">
        <v>83</v>
      </c>
      <c r="B78" s="393">
        <f>Fonctions!N15*$B$103*'Privé - Temps'!$B$11</f>
        <v>1346.8039997771837</v>
      </c>
      <c r="C78" s="312">
        <f>Fonctions!P15*'Privé - Temps'!$B$11*$B$14</f>
        <v>2952.9793759110071</v>
      </c>
      <c r="D78" s="632">
        <f t="shared" si="2"/>
        <v>113.24478076204548</v>
      </c>
      <c r="E78" s="312"/>
    </row>
    <row r="79" spans="1:12">
      <c r="A79" s="19" t="s">
        <v>84</v>
      </c>
      <c r="B79" s="393">
        <f>Fonctions!N16*$B$103*'Privé - Temps'!$B$11</f>
        <v>1777.6623073425046</v>
      </c>
      <c r="C79" s="312">
        <f>Fonctions!P16*'Privé - Temps'!$B$11*$B$14</f>
        <v>3944.0152314070374</v>
      </c>
      <c r="D79" s="632">
        <f t="shared" si="2"/>
        <v>149.47310692369408</v>
      </c>
      <c r="E79" s="312"/>
    </row>
    <row r="80" spans="1:12">
      <c r="A80" s="19" t="s">
        <v>85</v>
      </c>
      <c r="B80" s="393">
        <f>Fonctions!N17*$B$103*'Privé - Temps'!$B$11</f>
        <v>714.29249042353706</v>
      </c>
      <c r="C80" s="312">
        <f>Fonctions!P17*'Privé - Temps'!$B$11*$B$14</f>
        <v>1371.0523270376125</v>
      </c>
      <c r="D80" s="632">
        <f t="shared" si="2"/>
        <v>60.060629825402522</v>
      </c>
      <c r="E80" s="312"/>
    </row>
    <row r="81" spans="1:5">
      <c r="A81" s="107" t="s">
        <v>585</v>
      </c>
      <c r="B81" s="106"/>
      <c r="C81" s="106"/>
      <c r="D81" s="633"/>
    </row>
    <row r="82" spans="1:5">
      <c r="A82" s="597" t="s">
        <v>154</v>
      </c>
      <c r="B82" s="393">
        <f>Fonctions!N19*$B$103*'Privé - Temps'!$B$11</f>
        <v>970.08080728722041</v>
      </c>
      <c r="C82" s="312">
        <f>Fonctions!P19*'Privé - Temps'!$B$11*$B$14</f>
        <v>1920.0045267923863</v>
      </c>
      <c r="D82" s="632">
        <f t="shared" si="2"/>
        <v>81.568356168294812</v>
      </c>
      <c r="E82" s="312"/>
    </row>
    <row r="83" spans="1:5">
      <c r="A83" s="597" t="s">
        <v>155</v>
      </c>
      <c r="B83" s="393">
        <f>Fonctions!N20*$B$103*'Privé - Temps'!$B$11</f>
        <v>1050.1937111471523</v>
      </c>
      <c r="C83" s="312">
        <f>Fonctions!P20*'Privé - Temps'!$B$11*$B$14</f>
        <v>2133.1401546360466</v>
      </c>
      <c r="D83" s="632">
        <f t="shared" si="2"/>
        <v>88.304576312673476</v>
      </c>
      <c r="E83" s="312"/>
    </row>
    <row r="84" spans="1:5">
      <c r="A84" s="597" t="s">
        <v>156</v>
      </c>
      <c r="B84" s="393">
        <f>Fonctions!N21*$B$103*'Privé - Temps'!$B$11</f>
        <v>829.89934025761568</v>
      </c>
      <c r="C84" s="312">
        <f>Fonctions!P21*'Privé - Temps'!$B$11*$B$14</f>
        <v>1639.3306654342041</v>
      </c>
      <c r="D84" s="632">
        <f t="shared" si="2"/>
        <v>69.78132590754727</v>
      </c>
      <c r="E84" s="312"/>
    </row>
    <row r="85" spans="1:5">
      <c r="A85" s="597" t="s">
        <v>403</v>
      </c>
      <c r="B85" s="393">
        <f>Fonctions!N22*$B$103*'Privé - Temps'!$B$11</f>
        <v>1366.9800477463391</v>
      </c>
      <c r="C85" s="312">
        <f>Fonctions!P22*'Privé - Temps'!$B$11*$B$14</f>
        <v>2886.4091996860307</v>
      </c>
      <c r="D85" s="632">
        <f t="shared" si="2"/>
        <v>114.94126527596846</v>
      </c>
      <c r="E85" s="312"/>
    </row>
    <row r="86" spans="1:5">
      <c r="A86" s="597" t="s">
        <v>168</v>
      </c>
      <c r="B86" s="393">
        <f>Fonctions!N23*$B$103*'Privé - Temps'!$B$11</f>
        <v>1064.0250112912945</v>
      </c>
      <c r="C86" s="312">
        <f>Fonctions!P23*'Privé - Temps'!$B$11*$B$14</f>
        <v>2176.5331196819052</v>
      </c>
      <c r="D86" s="632">
        <f t="shared" si="2"/>
        <v>89.467568516985736</v>
      </c>
      <c r="E86" s="312"/>
    </row>
    <row r="87" spans="1:5">
      <c r="A87" s="597" t="s">
        <v>167</v>
      </c>
      <c r="B87" s="393">
        <f>Fonctions!N24*$B$103*'Privé - Temps'!$B$11</f>
        <v>961.34144302397874</v>
      </c>
      <c r="C87" s="312">
        <f>Fonctions!P24*'Privé - Temps'!$B$11*$B$14</f>
        <v>2011.9343947334901</v>
      </c>
      <c r="D87" s="632">
        <f t="shared" si="2"/>
        <v>80.833514728742955</v>
      </c>
      <c r="E87" s="312"/>
    </row>
    <row r="88" spans="1:5">
      <c r="A88" s="597" t="s">
        <v>170</v>
      </c>
      <c r="B88" s="393">
        <f>Fonctions!N25*$B$103*'Privé - Temps'!$B$11</f>
        <v>989.41718039788896</v>
      </c>
      <c r="C88" s="312">
        <f>Fonctions!P25*'Privé - Temps'!$B$11*$B$14</f>
        <v>1964.8832168335643</v>
      </c>
      <c r="D88" s="632">
        <f t="shared" si="2"/>
        <v>83.194237390813498</v>
      </c>
      <c r="E88" s="312"/>
    </row>
    <row r="89" spans="1:5">
      <c r="A89" s="597" t="s">
        <v>171</v>
      </c>
      <c r="B89" s="393">
        <f>Fonctions!N26*$B$103*'Privé - Temps'!$B$11</f>
        <v>1008.3958985122306</v>
      </c>
      <c r="C89" s="312">
        <f>Fonctions!P26*'Privé - Temps'!$B$11*$B$14</f>
        <v>1966.0548702722529</v>
      </c>
      <c r="D89" s="632">
        <f t="shared" si="2"/>
        <v>84.79004552054792</v>
      </c>
      <c r="E89" s="312"/>
    </row>
    <row r="90" spans="1:5">
      <c r="A90" s="597" t="s">
        <v>172</v>
      </c>
      <c r="B90" s="393">
        <f>Fonctions!N27*$B$103*'Privé - Temps'!$B$11</f>
        <v>796.4946286981201</v>
      </c>
      <c r="C90" s="312">
        <f>Fonctions!P27*'Privé - Temps'!$B$11*$B$14</f>
        <v>1501.1533911056811</v>
      </c>
      <c r="D90" s="632">
        <f t="shared" si="2"/>
        <v>66.972521331974065</v>
      </c>
      <c r="E90" s="312"/>
    </row>
    <row r="91" spans="1:5">
      <c r="A91" s="597" t="s">
        <v>173</v>
      </c>
      <c r="B91" s="393">
        <f>Fonctions!N28*$B$103*'Privé - Temps'!$B$11</f>
        <v>1209.7478445270162</v>
      </c>
      <c r="C91" s="312">
        <f>Fonctions!P28*'Privé - Temps'!$B$11*$B$14</f>
        <v>2537.5394809462009</v>
      </c>
      <c r="D91" s="632">
        <f t="shared" si="2"/>
        <v>101.72053947974912</v>
      </c>
      <c r="E91" s="312"/>
    </row>
    <row r="92" spans="1:5">
      <c r="A92" s="597" t="s">
        <v>350</v>
      </c>
      <c r="B92" s="393">
        <f>Fonctions!N29*$B$103*'Privé - Temps'!$B$11</f>
        <v>979.52614893497275</v>
      </c>
      <c r="C92" s="312">
        <f>Fonctions!P29*'Privé - Temps'!$B$11*$B$14</f>
        <v>1883.0829492675502</v>
      </c>
      <c r="D92" s="632">
        <f t="shared" si="2"/>
        <v>82.362559069607329</v>
      </c>
      <c r="E92" s="312"/>
    </row>
    <row r="93" spans="1:5">
      <c r="A93" s="597" t="s">
        <v>174</v>
      </c>
      <c r="B93" s="393">
        <f>Fonctions!N30*$B$103*'Privé - Temps'!$B$11</f>
        <v>1281.3589104836103</v>
      </c>
      <c r="C93" s="312">
        <f>Fonctions!P30*'Privé - Temps'!$B$11*$B$14</f>
        <v>2659.3551240614188</v>
      </c>
      <c r="D93" s="632">
        <f t="shared" si="2"/>
        <v>107.74189037099427</v>
      </c>
      <c r="E93" s="312"/>
    </row>
    <row r="94" spans="1:5">
      <c r="A94" s="597" t="s">
        <v>175</v>
      </c>
      <c r="B94" s="393">
        <f>Fonctions!N31*$B$103*'Privé - Temps'!$B$11</f>
        <v>959.42571610286632</v>
      </c>
      <c r="C94" s="312">
        <f>Fonctions!P31*'Privé - Temps'!$B$11*$B$14</f>
        <v>1844.7673028319109</v>
      </c>
      <c r="D94" s="632">
        <f t="shared" si="2"/>
        <v>80.672432585225991</v>
      </c>
      <c r="E94" s="312"/>
    </row>
    <row r="95" spans="1:5">
      <c r="A95" s="597" t="s">
        <v>176</v>
      </c>
      <c r="B95" s="393">
        <f>Fonctions!N32*$B$103*'Privé - Temps'!$B$11</f>
        <v>927.30314956629866</v>
      </c>
      <c r="C95" s="312">
        <f>Fonctions!P32*'Privé - Temps'!$B$11*$B$14</f>
        <v>1877.2526520436968</v>
      </c>
      <c r="D95" s="632">
        <f t="shared" si="2"/>
        <v>77.971435999568655</v>
      </c>
      <c r="E95" s="312"/>
    </row>
    <row r="96" spans="1:5">
      <c r="A96" s="597" t="s">
        <v>177</v>
      </c>
      <c r="B96" s="393">
        <f>Fonctions!N33*$B$103*'Privé - Temps'!$B$11</f>
        <v>964.43803537862277</v>
      </c>
      <c r="C96" s="312">
        <f>Fonctions!P33*'Privé - Temps'!$B$11*$B$14</f>
        <v>1898.9395895859261</v>
      </c>
      <c r="D96" s="632">
        <f t="shared" si="2"/>
        <v>81.093888860664975</v>
      </c>
      <c r="E96" s="312"/>
    </row>
    <row r="97" spans="1:11">
      <c r="A97" s="597" t="s">
        <v>351</v>
      </c>
      <c r="B97" s="393">
        <f>Fonctions!N34*$B$103*'Privé - Temps'!$B$11</f>
        <v>1019.0113418419204</v>
      </c>
      <c r="C97" s="312">
        <f>Fonctions!P34*'Privé - Temps'!$B$11*$B$14</f>
        <v>2097.558330423924</v>
      </c>
      <c r="D97" s="632">
        <f t="shared" si="2"/>
        <v>85.682635350071394</v>
      </c>
      <c r="E97" s="312"/>
    </row>
    <row r="98" spans="1:11">
      <c r="A98" s="597" t="s">
        <v>856</v>
      </c>
      <c r="B98" s="393">
        <f>Fonctions!N35*$B$103*'Privé - Temps'!$B$11</f>
        <v>1069.411956832781</v>
      </c>
      <c r="C98" s="312">
        <f>Fonctions!P35*'Privé - Temps'!$B$11*$B$14</f>
        <v>2210.8593379181425</v>
      </c>
      <c r="D98" s="632">
        <f t="shared" si="2"/>
        <v>89.920524898852463</v>
      </c>
      <c r="E98" s="312"/>
    </row>
    <row r="99" spans="1:11">
      <c r="A99" s="597" t="s">
        <v>178</v>
      </c>
      <c r="B99" s="393">
        <f>Fonctions!N36*$B$103*'Privé - Temps'!$B$11</f>
        <v>945.16337012448901</v>
      </c>
      <c r="C99" s="312">
        <f>Fonctions!P36*'Privé - Temps'!$B$11*$B$14</f>
        <v>1879.3595756126795</v>
      </c>
      <c r="D99" s="632">
        <f t="shared" si="2"/>
        <v>79.473196286743828</v>
      </c>
      <c r="E99" s="312"/>
    </row>
    <row r="100" spans="1:11">
      <c r="A100" s="597" t="s">
        <v>179</v>
      </c>
      <c r="B100" s="393">
        <f>Fonctions!N37*$B$103*'Privé - Temps'!$B$11</f>
        <v>973.1728535324936</v>
      </c>
      <c r="C100" s="312">
        <f>Fonctions!P37*'Privé - Temps'!$B$11*$B$14</f>
        <v>1934.8483697803356</v>
      </c>
      <c r="D100" s="632">
        <f t="shared" si="2"/>
        <v>81.828348044774245</v>
      </c>
      <c r="E100" s="312"/>
    </row>
    <row r="102" spans="1:11">
      <c r="A102" s="63"/>
    </row>
    <row r="103" spans="1:11">
      <c r="A103" s="19" t="s">
        <v>467</v>
      </c>
      <c r="B103" s="87">
        <v>1.665</v>
      </c>
      <c r="C103" s="19" t="s">
        <v>594</v>
      </c>
    </row>
    <row r="104" spans="1:11">
      <c r="A104" s="19" t="s">
        <v>1133</v>
      </c>
      <c r="B104" s="87">
        <v>0.14000000000000001</v>
      </c>
    </row>
    <row r="106" spans="1:11">
      <c r="A106" s="23" t="s">
        <v>682</v>
      </c>
    </row>
    <row r="107" spans="1:11">
      <c r="A107" s="45" t="s">
        <v>68</v>
      </c>
    </row>
    <row r="108" spans="1:11">
      <c r="A108" s="299"/>
      <c r="B108" s="19"/>
      <c r="C108" s="19"/>
    </row>
    <row r="109" spans="1:11">
      <c r="A109" s="299"/>
      <c r="B109" s="19"/>
      <c r="C109" s="19"/>
    </row>
    <row r="110" spans="1:11">
      <c r="A110" s="107" t="s">
        <v>108</v>
      </c>
      <c r="B110" s="108" t="s">
        <v>209</v>
      </c>
      <c r="C110" s="3" t="s">
        <v>291</v>
      </c>
      <c r="D110" s="124" t="s">
        <v>202</v>
      </c>
      <c r="G110" s="78"/>
    </row>
    <row r="111" spans="1:11">
      <c r="A111" s="19" t="s">
        <v>208</v>
      </c>
      <c r="B111" s="53">
        <v>565000000</v>
      </c>
      <c r="C111" s="54">
        <v>178</v>
      </c>
      <c r="D111" s="53">
        <f>C111*('Clés de répartition'!D50*'Clés de répartition'!D134)</f>
        <v>8274896.8366292231</v>
      </c>
      <c r="G111" s="78"/>
      <c r="H111" s="77"/>
      <c r="I111" s="77"/>
      <c r="K111" s="77"/>
    </row>
    <row r="112" spans="1:11">
      <c r="G112" s="78"/>
      <c r="H112" s="77"/>
      <c r="I112" s="77"/>
      <c r="K112" s="77"/>
    </row>
    <row r="113" spans="1:11">
      <c r="A113" s="19" t="s">
        <v>210</v>
      </c>
      <c r="B113">
        <v>4500000</v>
      </c>
      <c r="G113" s="78"/>
      <c r="H113" s="77"/>
      <c r="I113" s="77"/>
      <c r="K113" s="77"/>
    </row>
    <row r="114" spans="1:11">
      <c r="A114" s="19" t="s">
        <v>211</v>
      </c>
      <c r="B114">
        <v>1140000</v>
      </c>
      <c r="G114" s="78"/>
      <c r="H114" s="77"/>
      <c r="I114" s="77"/>
      <c r="K114" s="77"/>
    </row>
    <row r="115" spans="1:11">
      <c r="A115" s="78"/>
      <c r="B115" s="78"/>
      <c r="C115" s="78"/>
      <c r="D115" s="78"/>
      <c r="F115" s="78"/>
      <c r="G115" s="78"/>
      <c r="H115" s="77"/>
      <c r="I115" s="77"/>
      <c r="K115" s="77"/>
    </row>
    <row r="116" spans="1:11">
      <c r="A116" s="169" t="s">
        <v>114</v>
      </c>
      <c r="B116" s="169"/>
      <c r="G116" s="78"/>
      <c r="H116" s="77"/>
      <c r="I116" s="77"/>
    </row>
    <row r="117" spans="1:11">
      <c r="A117" s="45" t="s">
        <v>68</v>
      </c>
      <c r="B117" s="45"/>
      <c r="G117" s="78"/>
      <c r="H117" s="77"/>
      <c r="I117" s="77"/>
    </row>
    <row r="121" spans="1:11">
      <c r="A121" s="299" t="s">
        <v>677</v>
      </c>
    </row>
    <row r="122" spans="1:11" ht="17" thickBot="1">
      <c r="A122" s="299" t="s">
        <v>669</v>
      </c>
      <c r="B122" s="81" t="s">
        <v>10</v>
      </c>
      <c r="C122" s="57" t="s">
        <v>12</v>
      </c>
      <c r="E122" s="628"/>
      <c r="F122" s="305"/>
    </row>
    <row r="123" spans="1:11" ht="17">
      <c r="A123" s="298" t="s">
        <v>202</v>
      </c>
      <c r="B123" s="382">
        <f>Fonctions!T2</f>
        <v>1590.9924128529583</v>
      </c>
      <c r="C123" s="382">
        <f>Fonctions!U2</f>
        <v>249.54999999999998</v>
      </c>
      <c r="E123" s="629"/>
      <c r="F123" s="629"/>
    </row>
    <row r="124" spans="1:11">
      <c r="A124" s="19" t="s">
        <v>71</v>
      </c>
      <c r="B124" s="382" t="s">
        <v>670</v>
      </c>
      <c r="C124" s="382" t="s">
        <v>670</v>
      </c>
      <c r="E124" s="629"/>
      <c r="F124" s="629"/>
    </row>
    <row r="125" spans="1:11">
      <c r="A125" s="19" t="s">
        <v>72</v>
      </c>
      <c r="B125" s="382" t="s">
        <v>670</v>
      </c>
      <c r="C125" s="382" t="s">
        <v>670</v>
      </c>
      <c r="E125" s="629"/>
      <c r="F125" s="629"/>
    </row>
    <row r="126" spans="1:11">
      <c r="A126" s="19" t="s">
        <v>73</v>
      </c>
      <c r="B126" s="382">
        <f>Fonctions!T5</f>
        <v>1499.5482223688637</v>
      </c>
      <c r="C126" s="382">
        <f>Fonctions!U5</f>
        <v>249.54999999999998</v>
      </c>
      <c r="E126" s="629"/>
      <c r="F126" s="629"/>
    </row>
    <row r="127" spans="1:11">
      <c r="A127" s="19" t="s">
        <v>74</v>
      </c>
      <c r="B127" s="382" t="s">
        <v>670</v>
      </c>
      <c r="C127" s="382" t="s">
        <v>670</v>
      </c>
      <c r="E127" s="629"/>
      <c r="F127" s="629"/>
    </row>
    <row r="128" spans="1:11">
      <c r="A128" s="19" t="s">
        <v>293</v>
      </c>
      <c r="B128" s="382" t="s">
        <v>670</v>
      </c>
      <c r="C128" s="382" t="s">
        <v>670</v>
      </c>
      <c r="E128" s="629"/>
      <c r="F128" s="629"/>
    </row>
    <row r="129" spans="1:6">
      <c r="A129" s="19" t="s">
        <v>76</v>
      </c>
      <c r="B129" s="382">
        <f>Fonctions!T8</f>
        <v>667</v>
      </c>
      <c r="C129" s="382">
        <f>Fonctions!U8</f>
        <v>249.54999999999998</v>
      </c>
      <c r="E129" s="629"/>
      <c r="F129" s="629"/>
    </row>
    <row r="130" spans="1:6">
      <c r="A130" s="19" t="s">
        <v>77</v>
      </c>
      <c r="B130" s="382" t="s">
        <v>670</v>
      </c>
      <c r="C130" s="382" t="s">
        <v>670</v>
      </c>
      <c r="E130" s="629"/>
      <c r="F130" s="629"/>
    </row>
    <row r="131" spans="1:6">
      <c r="A131" s="19" t="s">
        <v>79</v>
      </c>
      <c r="B131" s="382">
        <f>Fonctions!T10</f>
        <v>1690.018062123358</v>
      </c>
      <c r="C131" s="382">
        <f>Fonctions!U10</f>
        <v>249.54999999999998</v>
      </c>
      <c r="E131" s="629"/>
      <c r="F131" s="629"/>
    </row>
    <row r="132" spans="1:6">
      <c r="A132" s="19" t="s">
        <v>80</v>
      </c>
      <c r="B132" s="382">
        <f>Fonctions!T11</f>
        <v>2267.9551304506567</v>
      </c>
      <c r="C132" s="382">
        <f>Fonctions!U11</f>
        <v>249.54999999999998</v>
      </c>
      <c r="E132" s="629"/>
      <c r="F132" s="629"/>
    </row>
    <row r="133" spans="1:6">
      <c r="A133" s="19" t="s">
        <v>81</v>
      </c>
      <c r="B133" s="382">
        <f>Fonctions!T12</f>
        <v>1921.2899035356029</v>
      </c>
      <c r="C133" s="382">
        <f>Fonctions!U12</f>
        <v>249.54999999999998</v>
      </c>
      <c r="E133" s="629"/>
      <c r="F133" s="629"/>
    </row>
    <row r="134" spans="1:6">
      <c r="A134" s="19" t="s">
        <v>78</v>
      </c>
      <c r="B134" s="382">
        <f>Fonctions!T13</f>
        <v>667</v>
      </c>
      <c r="C134" s="382">
        <f>Fonctions!U13</f>
        <v>249.54999999999998</v>
      </c>
      <c r="E134" s="629"/>
      <c r="F134" s="629"/>
    </row>
    <row r="135" spans="1:6">
      <c r="A135" s="19" t="s">
        <v>82</v>
      </c>
      <c r="B135" s="382" t="s">
        <v>670</v>
      </c>
      <c r="C135" s="382" t="s">
        <v>670</v>
      </c>
      <c r="E135" s="629"/>
      <c r="F135" s="629"/>
    </row>
    <row r="136" spans="1:6">
      <c r="A136" s="19" t="s">
        <v>83</v>
      </c>
      <c r="B136" s="382" t="s">
        <v>670</v>
      </c>
      <c r="C136" s="382" t="s">
        <v>670</v>
      </c>
      <c r="E136" s="629"/>
      <c r="F136" s="629"/>
    </row>
    <row r="137" spans="1:6">
      <c r="A137" s="19" t="s">
        <v>84</v>
      </c>
      <c r="B137" s="382" t="s">
        <v>670</v>
      </c>
      <c r="C137" s="382" t="s">
        <v>670</v>
      </c>
      <c r="E137" s="629"/>
      <c r="F137" s="629"/>
    </row>
    <row r="138" spans="1:6">
      <c r="A138" s="19" t="s">
        <v>85</v>
      </c>
      <c r="B138" s="382">
        <f>Fonctions!T17</f>
        <v>667</v>
      </c>
      <c r="C138" s="382">
        <f>Fonctions!U17</f>
        <v>249.54999999999998</v>
      </c>
      <c r="E138" s="629"/>
      <c r="F138" s="629"/>
    </row>
    <row r="139" spans="1:6">
      <c r="A139" s="107" t="s">
        <v>585</v>
      </c>
      <c r="B139" s="106"/>
      <c r="C139" s="106"/>
      <c r="E139" s="312"/>
      <c r="F139" s="312"/>
    </row>
    <row r="140" spans="1:6">
      <c r="A140" s="597" t="s">
        <v>154</v>
      </c>
      <c r="B140" s="382">
        <f>Fonctions!T19</f>
        <v>1611.3929866619389</v>
      </c>
      <c r="C140" s="382">
        <f>Fonctions!U19</f>
        <v>249.54999999999998</v>
      </c>
      <c r="E140" s="629"/>
      <c r="F140" s="629"/>
    </row>
    <row r="141" spans="1:6">
      <c r="A141" s="597" t="s">
        <v>155</v>
      </c>
      <c r="B141" s="382">
        <f>Fonctions!T20</f>
        <v>2399.8691235889255</v>
      </c>
      <c r="C141" s="382">
        <f>Fonctions!U20</f>
        <v>249.54999999999998</v>
      </c>
      <c r="E141" s="629"/>
      <c r="F141" s="629"/>
    </row>
    <row r="142" spans="1:6">
      <c r="A142" s="597" t="s">
        <v>156</v>
      </c>
      <c r="B142" s="382">
        <f>Fonctions!T21</f>
        <v>667</v>
      </c>
      <c r="C142" s="382">
        <f>Fonctions!U21</f>
        <v>249.54999999999998</v>
      </c>
      <c r="E142" s="629"/>
      <c r="F142" s="629"/>
    </row>
    <row r="143" spans="1:6">
      <c r="A143" s="597" t="s">
        <v>403</v>
      </c>
      <c r="B143" s="382" t="s">
        <v>670</v>
      </c>
      <c r="C143" s="382" t="s">
        <v>670</v>
      </c>
      <c r="E143" s="629"/>
      <c r="F143" s="629"/>
    </row>
    <row r="144" spans="1:6">
      <c r="A144" s="597" t="s">
        <v>168</v>
      </c>
      <c r="B144" s="382" t="s">
        <v>670</v>
      </c>
      <c r="C144" s="382">
        <f>Fonctions!U23</f>
        <v>249.54999999999998</v>
      </c>
      <c r="E144" s="629"/>
      <c r="F144" s="629"/>
    </row>
    <row r="145" spans="1:6">
      <c r="A145" s="597" t="s">
        <v>167</v>
      </c>
      <c r="B145" s="382" t="s">
        <v>670</v>
      </c>
      <c r="C145" s="382">
        <f>Fonctions!U24</f>
        <v>249.54999999999998</v>
      </c>
      <c r="E145" s="629"/>
      <c r="F145" s="629"/>
    </row>
    <row r="146" spans="1:6">
      <c r="A146" s="597" t="s">
        <v>170</v>
      </c>
      <c r="B146" s="382">
        <f>Fonctions!T25</f>
        <v>1973.2571324571716</v>
      </c>
      <c r="C146" s="382">
        <f>Fonctions!U25</f>
        <v>249.54999999999998</v>
      </c>
      <c r="E146" s="629"/>
      <c r="F146" s="629"/>
    </row>
    <row r="147" spans="1:6">
      <c r="A147" s="597" t="s">
        <v>171</v>
      </c>
      <c r="B147" s="382">
        <f>Fonctions!T26</f>
        <v>2195.5650195125886</v>
      </c>
      <c r="C147" s="382">
        <f>Fonctions!U26</f>
        <v>249.54999999999998</v>
      </c>
      <c r="E147" s="629"/>
      <c r="F147" s="629"/>
    </row>
    <row r="148" spans="1:6">
      <c r="A148" s="597" t="s">
        <v>172</v>
      </c>
      <c r="B148" s="382">
        <f>Fonctions!T27</f>
        <v>667</v>
      </c>
      <c r="C148" s="382">
        <f>Fonctions!U27</f>
        <v>249.54999999999998</v>
      </c>
      <c r="E148" s="629"/>
      <c r="F148" s="629"/>
    </row>
    <row r="149" spans="1:6">
      <c r="A149" s="597" t="s">
        <v>173</v>
      </c>
      <c r="B149" s="382" t="s">
        <v>670</v>
      </c>
      <c r="C149" s="382" t="s">
        <v>670</v>
      </c>
      <c r="E149" s="629"/>
      <c r="F149" s="629"/>
    </row>
    <row r="150" spans="1:6">
      <c r="A150" s="597" t="s">
        <v>350</v>
      </c>
      <c r="B150" s="382">
        <f>Fonctions!T29</f>
        <v>1526.6388696625465</v>
      </c>
      <c r="C150" s="382">
        <f>Fonctions!U29</f>
        <v>249.54999999999998</v>
      </c>
      <c r="E150" s="629"/>
      <c r="F150" s="629"/>
    </row>
    <row r="151" spans="1:6">
      <c r="A151" s="597" t="s">
        <v>174</v>
      </c>
      <c r="B151" s="382" t="s">
        <v>670</v>
      </c>
      <c r="C151" s="382">
        <f>Fonctions!U30</f>
        <v>249.54999999999998</v>
      </c>
      <c r="E151" s="629"/>
      <c r="F151" s="629"/>
    </row>
    <row r="152" spans="1:6">
      <c r="A152" s="597" t="s">
        <v>175</v>
      </c>
      <c r="B152" s="382">
        <f>Fonctions!T31</f>
        <v>2073.1369355594716</v>
      </c>
      <c r="C152" s="382">
        <f>Fonctions!U31</f>
        <v>249.54999999999998</v>
      </c>
      <c r="E152" s="629"/>
      <c r="F152" s="629"/>
    </row>
    <row r="153" spans="1:6">
      <c r="A153" s="597" t="s">
        <v>176</v>
      </c>
      <c r="B153" s="382">
        <f>Fonctions!T32</f>
        <v>667</v>
      </c>
      <c r="C153" s="382">
        <f>Fonctions!U32</f>
        <v>249.54999999999998</v>
      </c>
      <c r="E153" s="629"/>
      <c r="F153" s="629"/>
    </row>
    <row r="154" spans="1:6">
      <c r="A154" s="597" t="s">
        <v>177</v>
      </c>
      <c r="B154" s="382" t="s">
        <v>670</v>
      </c>
      <c r="C154" s="382">
        <f>Fonctions!U33</f>
        <v>249.54999999999998</v>
      </c>
      <c r="E154" s="629"/>
      <c r="F154" s="629"/>
    </row>
    <row r="155" spans="1:6">
      <c r="A155" s="597" t="s">
        <v>351</v>
      </c>
      <c r="B155" s="382">
        <f>Fonctions!T34</f>
        <v>667</v>
      </c>
      <c r="C155" s="382">
        <f>Fonctions!U34</f>
        <v>249.54999999999998</v>
      </c>
      <c r="E155" s="629"/>
      <c r="F155" s="629"/>
    </row>
    <row r="156" spans="1:6">
      <c r="A156" s="597" t="s">
        <v>856</v>
      </c>
      <c r="B156" s="382">
        <f>Fonctions!T35</f>
        <v>1579.4299426118655</v>
      </c>
      <c r="C156" s="382">
        <f>Fonctions!U35</f>
        <v>249.54999999999998</v>
      </c>
      <c r="E156" s="629"/>
      <c r="F156" s="629"/>
    </row>
    <row r="157" spans="1:6">
      <c r="A157" s="597" t="s">
        <v>178</v>
      </c>
      <c r="B157" s="382">
        <f>Fonctions!T36</f>
        <v>667</v>
      </c>
      <c r="C157" s="382">
        <f>Fonctions!U36</f>
        <v>249.54999999999998</v>
      </c>
      <c r="E157" s="629"/>
      <c r="F157" s="629"/>
    </row>
    <row r="158" spans="1:6">
      <c r="A158" s="597" t="s">
        <v>179</v>
      </c>
      <c r="B158" s="382">
        <f>Fonctions!T37</f>
        <v>1571.2942459735491</v>
      </c>
      <c r="C158" s="382">
        <f>Fonctions!U37</f>
        <v>249.54999999999998</v>
      </c>
      <c r="E158" s="629"/>
      <c r="F158" s="629"/>
    </row>
    <row r="160" spans="1:6">
      <c r="A160" s="63" t="s">
        <v>671</v>
      </c>
    </row>
    <row r="161" spans="1:1">
      <c r="A161" s="333" t="s">
        <v>672</v>
      </c>
    </row>
    <row r="162" spans="1:1">
      <c r="A162" s="333" t="s">
        <v>673</v>
      </c>
    </row>
    <row r="163" spans="1:1">
      <c r="A163" s="23" t="s">
        <v>674</v>
      </c>
    </row>
  </sheetData>
  <sortState xmlns:xlrd2="http://schemas.microsoft.com/office/spreadsheetml/2017/richdata2" ref="A38:S56">
    <sortCondition ref="A38:A56"/>
  </sortState>
  <mergeCells count="4">
    <mergeCell ref="A58:E58"/>
    <mergeCell ref="A55:E55"/>
    <mergeCell ref="A4:E4"/>
    <mergeCell ref="B63:D63"/>
  </mergeCells>
  <phoneticPr fontId="44" type="noConversion"/>
  <hyperlinks>
    <hyperlink ref="A56" r:id="rId1" xr:uid="{B29614CB-B6B2-ED47-B9E5-861F074A5132}"/>
    <hyperlink ref="A59" r:id="rId2" xr:uid="{F4B07AB0-B0EA-4349-A1EE-44D2CE82FDB9}"/>
    <hyperlink ref="A117" r:id="rId3" xr:uid="{0342AE93-D036-E14C-9AD9-1119B715C920}"/>
    <hyperlink ref="A107" r:id="rId4" xr:uid="{F88517A7-ECF2-D042-B3F1-7B3466B55F23}"/>
    <hyperlink ref="A1" location="'Table des matières'!A1" display="Retour à la Table des matières" xr:uid="{2FAE0DFF-5907-DC4B-A11F-F022D1238E8B}"/>
  </hyperlinks>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56DF35-244E-834F-B550-E7CFEEAA6296}">
  <sheetPr codeName="Sheet6"/>
  <dimension ref="A1:E27"/>
  <sheetViews>
    <sheetView zoomScaleNormal="100" workbookViewId="0">
      <selection activeCell="E15" sqref="E15"/>
    </sheetView>
  </sheetViews>
  <sheetFormatPr baseColWidth="10" defaultRowHeight="16"/>
  <cols>
    <col min="1" max="1" width="63" bestFit="1" customWidth="1"/>
    <col min="2" max="2" width="17.1640625" customWidth="1"/>
    <col min="3" max="3" width="21.1640625" customWidth="1"/>
    <col min="4" max="4" width="17" customWidth="1"/>
    <col min="5" max="5" width="20" customWidth="1"/>
  </cols>
  <sheetData>
    <row r="1" spans="1:5">
      <c r="A1" s="501" t="s">
        <v>841</v>
      </c>
    </row>
    <row r="2" spans="1:5" ht="26">
      <c r="A2" s="48" t="s">
        <v>6</v>
      </c>
    </row>
    <row r="4" spans="1:5" ht="55" customHeight="1">
      <c r="A4" s="637" t="s">
        <v>794</v>
      </c>
      <c r="B4" s="637"/>
      <c r="C4" s="637"/>
      <c r="D4" s="637"/>
    </row>
    <row r="6" spans="1:5" ht="17" thickBot="1">
      <c r="A6" s="52"/>
      <c r="B6" s="81" t="s">
        <v>10</v>
      </c>
      <c r="C6" s="82" t="s">
        <v>11</v>
      </c>
      <c r="D6" s="57" t="s">
        <v>12</v>
      </c>
      <c r="E6" s="58" t="s">
        <v>13</v>
      </c>
    </row>
    <row r="7" spans="1:5">
      <c r="A7" s="19" t="s">
        <v>153</v>
      </c>
      <c r="B7" s="54">
        <f>B10*C19*(1-'Clés de répartition'!B299)*'Clés de répartition'!B297</f>
        <v>91557647.423866972</v>
      </c>
      <c r="C7" s="54">
        <v>0</v>
      </c>
      <c r="D7" s="54">
        <f>B10*C17*'Clés de répartition'!B189</f>
        <v>1987127.8842938954</v>
      </c>
      <c r="E7" s="54">
        <f>B10*C18</f>
        <v>2461595.1121411603</v>
      </c>
    </row>
    <row r="8" spans="1:5">
      <c r="A8" s="128" t="s">
        <v>345</v>
      </c>
      <c r="B8" s="129">
        <f>B7/('Clés de répartition'!G50*'Clés de répartition'!$D$134)</f>
        <v>148.60927102563187</v>
      </c>
      <c r="C8" s="129">
        <f>C7/('Clés de répartition'!H50*'Clés de répartition'!$D$134)</f>
        <v>0</v>
      </c>
      <c r="D8" s="129">
        <f>D7/('Clés de répartition'!I50*'Clés de répartition'!$D$134)</f>
        <v>42.744794332493043</v>
      </c>
      <c r="E8" s="129">
        <f>E7/('Clés de répartition'!J50*'Clés de répartition'!$D$134)</f>
        <v>15.089992199942513</v>
      </c>
    </row>
    <row r="9" spans="1:5">
      <c r="B9" s="16"/>
      <c r="C9" s="16"/>
      <c r="D9" s="16"/>
      <c r="E9" s="16"/>
    </row>
    <row r="10" spans="1:5">
      <c r="A10" t="s">
        <v>152</v>
      </c>
      <c r="B10" s="53">
        <v>155221600</v>
      </c>
    </row>
    <row r="12" spans="1:5">
      <c r="A12" s="80" t="s">
        <v>151</v>
      </c>
    </row>
    <row r="13" spans="1:5">
      <c r="A13" s="45" t="s">
        <v>68</v>
      </c>
    </row>
    <row r="16" spans="1:5" ht="32">
      <c r="A16" s="30" t="s">
        <v>93</v>
      </c>
      <c r="B16" s="12"/>
      <c r="C16" s="12"/>
    </row>
    <row r="17" spans="1:3">
      <c r="A17" s="31" t="s">
        <v>94</v>
      </c>
      <c r="B17" s="32">
        <v>7124</v>
      </c>
      <c r="C17" s="15">
        <f>B17/$B$24</f>
        <v>1.8826290211333301E-2</v>
      </c>
    </row>
    <row r="18" spans="1:3">
      <c r="A18" s="33" t="s">
        <v>95</v>
      </c>
      <c r="B18" s="34">
        <v>6001</v>
      </c>
      <c r="C18" s="15">
        <f>B18/$B$24</f>
        <v>1.5858586125520935E-2</v>
      </c>
    </row>
    <row r="19" spans="1:3">
      <c r="A19" s="35" t="s">
        <v>96</v>
      </c>
      <c r="B19" s="36">
        <f>SUM(B20:B23)</f>
        <v>365282</v>
      </c>
      <c r="C19" s="15">
        <f>B19/$B$24</f>
        <v>0.96531512366314576</v>
      </c>
    </row>
    <row r="20" spans="1:3">
      <c r="A20" s="22" t="s">
        <v>4</v>
      </c>
      <c r="B20" s="37">
        <v>110727</v>
      </c>
      <c r="C20" s="12"/>
    </row>
    <row r="21" spans="1:3">
      <c r="A21" s="22" t="s">
        <v>97</v>
      </c>
      <c r="B21" s="37">
        <v>47770</v>
      </c>
      <c r="C21" s="12"/>
    </row>
    <row r="22" spans="1:3">
      <c r="A22" s="22" t="s">
        <v>98</v>
      </c>
      <c r="B22" s="37">
        <v>201336</v>
      </c>
      <c r="C22" s="12"/>
    </row>
    <row r="23" spans="1:3">
      <c r="A23" s="22" t="s">
        <v>99</v>
      </c>
      <c r="B23" s="37">
        <v>5449</v>
      </c>
      <c r="C23" s="12"/>
    </row>
    <row r="24" spans="1:3">
      <c r="A24" s="38" t="s">
        <v>41</v>
      </c>
      <c r="B24" s="39">
        <f>SUM(B17:B19)</f>
        <v>378407</v>
      </c>
      <c r="C24" s="12"/>
    </row>
    <row r="26" spans="1:3">
      <c r="A26" s="22" t="s">
        <v>100</v>
      </c>
    </row>
    <row r="27" spans="1:3" ht="17">
      <c r="A27" s="18" t="s">
        <v>89</v>
      </c>
    </row>
  </sheetData>
  <mergeCells count="1">
    <mergeCell ref="A4:D4"/>
  </mergeCells>
  <hyperlinks>
    <hyperlink ref="A27" r:id="rId1" xr:uid="{1CD7874C-95E9-474E-9BCD-F3823396A15B}"/>
    <hyperlink ref="A13" r:id="rId2" xr:uid="{45976776-CE25-8F4A-9DFF-07A7AE2441AA}"/>
    <hyperlink ref="A1" location="'Table des matières'!A1" display="Retour à la Table des matières" xr:uid="{3E13E79C-9682-0B43-B224-D4A800A33717}"/>
  </hyperlink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8E35A2-8857-1E48-8ED5-16C74CB70A6C}">
  <sheetPr codeName="Sheet7"/>
  <dimension ref="A1:I64"/>
  <sheetViews>
    <sheetView workbookViewId="0">
      <selection activeCell="F19" sqref="F19"/>
    </sheetView>
  </sheetViews>
  <sheetFormatPr baseColWidth="10" defaultRowHeight="16"/>
  <cols>
    <col min="1" max="1" width="55.1640625" customWidth="1"/>
    <col min="2" max="2" width="18" customWidth="1"/>
    <col min="3" max="3" width="17.6640625" customWidth="1"/>
    <col min="4" max="4" width="16.83203125" customWidth="1"/>
    <col min="5" max="5" width="16.6640625" customWidth="1"/>
    <col min="6" max="6" width="13.5" customWidth="1"/>
    <col min="7" max="7" width="13.83203125" customWidth="1"/>
    <col min="8" max="8" width="12" customWidth="1"/>
    <col min="9" max="9" width="14.5" customWidth="1"/>
  </cols>
  <sheetData>
    <row r="1" spans="1:5">
      <c r="A1" s="501" t="s">
        <v>841</v>
      </c>
    </row>
    <row r="2" spans="1:5" ht="26">
      <c r="A2" s="48" t="s">
        <v>7</v>
      </c>
    </row>
    <row r="4" spans="1:5" ht="151" customHeight="1">
      <c r="A4" s="637" t="s">
        <v>795</v>
      </c>
      <c r="B4" s="637"/>
      <c r="C4" s="637"/>
      <c r="D4" s="637"/>
      <c r="E4" s="637"/>
    </row>
    <row r="6" spans="1:5" ht="35" thickBot="1">
      <c r="A6" s="52"/>
      <c r="B6" s="55" t="s">
        <v>10</v>
      </c>
      <c r="C6" s="56" t="s">
        <v>11</v>
      </c>
      <c r="D6" s="57" t="s">
        <v>12</v>
      </c>
      <c r="E6" s="58" t="s">
        <v>13</v>
      </c>
    </row>
    <row r="7" spans="1:5">
      <c r="A7" s="19" t="s">
        <v>788</v>
      </c>
      <c r="B7" s="54">
        <f>B19*'Clés de répartition'!B50*'Clés de répartition'!$D134</f>
        <v>1335383556.4368694</v>
      </c>
      <c r="C7" s="54">
        <f>C19*'Clés de répartition'!C50*'Clés de répartition'!$D134</f>
        <v>2290254268.6464481</v>
      </c>
      <c r="D7" s="54">
        <f>D19*'Clés de répartition'!D50*'Clés de répartition'!$D134</f>
        <v>109951639.33526047</v>
      </c>
      <c r="E7" s="54">
        <f>E19*'Clés de répartition'!E50*'Clés de répartition'!$D134</f>
        <v>303590547.45923519</v>
      </c>
    </row>
    <row r="8" spans="1:5">
      <c r="A8" s="130" t="s">
        <v>299</v>
      </c>
      <c r="B8" s="131" cm="1">
        <f t="array" ref="B8">IF(Bienvenue!G11=1,INDEX(B19:E34,Bienvenue!G10,1),INDEX(B36:E54,Bienvenue!G11-1,1))</f>
        <v>2167.4910009752771</v>
      </c>
      <c r="C8" s="131" cm="1">
        <f t="array" ref="C8">IF(Bienvenue!G11=1,INDEX(B19:E34,Bienvenue!G10,2),INDEX(B36:E54,Bienvenue!G11-1,2))</f>
        <v>4412.430117475833</v>
      </c>
      <c r="D8" s="131" cm="1">
        <f t="array" ref="D8">IF(Bienvenue!G11=1,INDEX(B19:E34,Bienvenue!G10,3),INDEX(B36:E54,Bienvenue!G11-1,3))</f>
        <v>2365.1523623886969</v>
      </c>
      <c r="E8" s="131" cm="1">
        <f t="array" ref="E8">IF(Bienvenue!G11=1,INDEX(B19:E34,Bienvenue!G10,4),INDEX(B36:E54,Bienvenue!G11-1,4))</f>
        <v>1861.061134928606</v>
      </c>
    </row>
    <row r="10" spans="1:5">
      <c r="A10" t="s">
        <v>140</v>
      </c>
      <c r="B10" s="53">
        <v>28</v>
      </c>
    </row>
    <row r="11" spans="1:5">
      <c r="A11" t="s">
        <v>141</v>
      </c>
      <c r="B11">
        <v>250</v>
      </c>
    </row>
    <row r="12" spans="1:5">
      <c r="A12" t="s">
        <v>891</v>
      </c>
      <c r="B12" s="16">
        <v>0.5</v>
      </c>
    </row>
    <row r="14" spans="1:5">
      <c r="A14" s="23" t="s">
        <v>142</v>
      </c>
    </row>
    <row r="15" spans="1:5">
      <c r="A15" s="45" t="s">
        <v>68</v>
      </c>
    </row>
    <row r="18" spans="1:9" ht="35" thickBot="1">
      <c r="A18" s="306" t="s">
        <v>586</v>
      </c>
      <c r="B18" s="301" t="s">
        <v>10</v>
      </c>
      <c r="C18" s="251" t="s">
        <v>11</v>
      </c>
      <c r="D18" s="57" t="s">
        <v>12</v>
      </c>
      <c r="E18" s="58" t="s">
        <v>13</v>
      </c>
      <c r="F18" s="303"/>
      <c r="G18" s="304"/>
      <c r="H18" s="305"/>
      <c r="I18" s="241"/>
    </row>
    <row r="19" spans="1:9" ht="17">
      <c r="A19" s="298" t="s">
        <v>202</v>
      </c>
      <c r="B19" s="53">
        <f>'Clés de répartition'!B93/60*2*$B$11*$B$10*$B$12</f>
        <v>2167.4910009752771</v>
      </c>
      <c r="C19" s="53">
        <f>'Clés de répartition'!C93/60*2*$B$11*$B$10*$B$12</f>
        <v>4412.430117475833</v>
      </c>
      <c r="D19" s="53">
        <f>'Clés de répartition'!D93/60*2*$B$11*$B$10*$B$12</f>
        <v>2365.1523623886969</v>
      </c>
      <c r="E19" s="53">
        <f>'Clés de répartition'!E93/60*2*$B$11*$B$10*$B$12</f>
        <v>1861.061134928606</v>
      </c>
      <c r="F19" s="20"/>
      <c r="G19" s="20"/>
      <c r="H19" s="20"/>
      <c r="I19" s="20"/>
    </row>
    <row r="20" spans="1:9">
      <c r="A20" s="19" t="s">
        <v>71</v>
      </c>
      <c r="B20" s="53">
        <f>'Clés de répartition'!B94/60*2*$B$11*$B$10*$B$12</f>
        <v>1852.5689260118947</v>
      </c>
      <c r="C20" s="53">
        <f>'Clés de répartition'!C94/60*2*$B$11*$B$10*$B$12</f>
        <v>6777.9820006922801</v>
      </c>
      <c r="D20" s="53">
        <f>'Clés de répartition'!D94/60*2*$B$11*$B$10*$B$12</f>
        <v>1359.4352953136083</v>
      </c>
      <c r="E20" s="53">
        <f>'Clés de répartition'!E94/60*2*$B$11*$B$10*$B$12</f>
        <v>1670.3969277043768</v>
      </c>
      <c r="F20" s="20"/>
      <c r="G20" s="20"/>
      <c r="H20" s="20"/>
      <c r="I20" s="20"/>
    </row>
    <row r="21" spans="1:9">
      <c r="A21" s="19" t="s">
        <v>72</v>
      </c>
      <c r="B21" s="53">
        <f>'Clés de répartition'!B95/60*2*$B$11*$B$10*$B$12</f>
        <v>2184.5293997688464</v>
      </c>
      <c r="C21" s="53">
        <f>'Clés de répartition'!C95/60*2*$B$11*$B$10*$B$12</f>
        <v>5455.7729342317834</v>
      </c>
      <c r="D21" s="53">
        <f>'Clés de répartition'!D95/60*2*$B$11*$B$10*$B$12</f>
        <v>2144.5088306176035</v>
      </c>
      <c r="E21" s="53">
        <f>'Clés de répartition'!E95/60*2*$B$11*$B$10*$B$12</f>
        <v>1426.6664260622665</v>
      </c>
      <c r="F21" s="20"/>
      <c r="G21" s="20"/>
      <c r="H21" s="20"/>
      <c r="I21" s="20"/>
    </row>
    <row r="22" spans="1:9">
      <c r="A22" s="19" t="s">
        <v>73</v>
      </c>
      <c r="B22" s="53">
        <f>'Clés de répartition'!B96/60*2*$B$11*$B$10*$B$12</f>
        <v>2052.3902717410629</v>
      </c>
      <c r="C22" s="53">
        <f>'Clés de répartition'!C96/60*2*$B$11*$B$10*$B$12</f>
        <v>4952.0649616624314</v>
      </c>
      <c r="D22" s="53">
        <f>'Clés de répartition'!D96/60*2*$B$11*$B$10*$B$12</f>
        <v>2339.6992934542614</v>
      </c>
      <c r="E22" s="53">
        <f>'Clés de répartition'!E96/60*2*$B$11*$B$10*$B$12</f>
        <v>1646.5613823561232</v>
      </c>
      <c r="F22" s="20"/>
      <c r="G22" s="20"/>
      <c r="H22" s="20"/>
      <c r="I22" s="20"/>
    </row>
    <row r="23" spans="1:9">
      <c r="A23" s="19" t="s">
        <v>74</v>
      </c>
      <c r="B23" s="53">
        <f>'Clés de répartition'!B97/60*2*$B$11*$B$10*$B$12</f>
        <v>2228.2053719712503</v>
      </c>
      <c r="C23" s="53">
        <f>'Clés de répartition'!C97/60*2*$B$11*$B$10*$B$12</f>
        <v>6280.4099901696172</v>
      </c>
      <c r="D23" s="53">
        <f>'Clés de répartition'!D97/60*2*$B$11*$B$10*$B$12</f>
        <v>4989.6569220430092</v>
      </c>
      <c r="E23" s="53">
        <f>'Clés de répartition'!E97/60*2*$B$11*$B$10*$B$12</f>
        <v>1907.208385314563</v>
      </c>
      <c r="F23" s="20"/>
      <c r="G23" s="20"/>
      <c r="H23" s="20"/>
      <c r="I23" s="20"/>
    </row>
    <row r="24" spans="1:9">
      <c r="A24" s="19" t="s">
        <v>293</v>
      </c>
      <c r="B24" s="53">
        <f>'Clés de répartition'!B98/60*2*$B$11*$B$10*$B$12</f>
        <v>1855.7637756956199</v>
      </c>
      <c r="C24" s="53">
        <f>'Clés de répartition'!C98/60*2*$B$11*$B$10*$B$12</f>
        <v>5449.4086827778265</v>
      </c>
      <c r="D24" s="53">
        <f>'Clés de répartition'!D98/60*2*$B$11*$B$10*$B$12</f>
        <v>2932.5436745222219</v>
      </c>
      <c r="E24" s="53">
        <f>'Clés de répartition'!E98/60*2*$B$11*$B$10*$B$12</f>
        <v>2644.2201058201013</v>
      </c>
      <c r="F24" s="20"/>
      <c r="G24" s="20"/>
      <c r="H24" s="20"/>
      <c r="I24" s="20"/>
    </row>
    <row r="25" spans="1:9">
      <c r="A25" s="19" t="s">
        <v>76</v>
      </c>
      <c r="B25" s="53">
        <f>'Clés de répartition'!B99/60*2*$B$11*$B$10*$B$12</f>
        <v>1632.0393623284449</v>
      </c>
      <c r="C25" s="53">
        <f>'Clés de répartition'!C99/60*2*$B$11*$B$10*$B$12</f>
        <v>3825.5418495387912</v>
      </c>
      <c r="D25" s="53">
        <f>'Clés de répartition'!D99/60*2*$B$11*$B$10*$B$12</f>
        <v>3420.6242449448414</v>
      </c>
      <c r="E25" s="53">
        <f>'Clés de répartition'!E99/60*2*$B$11*$B$10*$B$12</f>
        <v>1729.763402110415</v>
      </c>
      <c r="F25" s="20"/>
      <c r="G25" s="20"/>
      <c r="H25" s="20"/>
      <c r="I25" s="20"/>
    </row>
    <row r="26" spans="1:9">
      <c r="A26" s="19" t="s">
        <v>77</v>
      </c>
      <c r="B26" s="53">
        <f>'Clés de répartition'!B100/60*2*$B$11*$B$10*$B$12</f>
        <v>2335.6046513576116</v>
      </c>
      <c r="C26" s="53">
        <f>'Clés de répartition'!C100/60*2*$B$11*$B$10*$B$12</f>
        <v>6118.810785829327</v>
      </c>
      <c r="D26" s="53">
        <f>'Clés de répartition'!D100/60*2*$B$11*$B$10*$B$12</f>
        <v>501.66666666666669</v>
      </c>
      <c r="E26" s="53">
        <f>'Clés de répartition'!E100/60*2*$B$11*$B$10*$B$12</f>
        <v>2383.4905572611351</v>
      </c>
      <c r="F26" s="20"/>
      <c r="G26" s="20"/>
      <c r="H26" s="20"/>
      <c r="I26" s="20"/>
    </row>
    <row r="27" spans="1:9" ht="16" customHeight="1">
      <c r="A27" s="19" t="s">
        <v>79</v>
      </c>
      <c r="B27" s="53">
        <f>'Clés de répartition'!B101/60*2*$B$11*$B$10*$B$12</f>
        <v>2188.5803858393433</v>
      </c>
      <c r="C27" s="53">
        <f>'Clés de répartition'!C101/60*2*$B$11*$B$10*$B$12</f>
        <v>4344.4425921306956</v>
      </c>
      <c r="D27" s="53">
        <f>'Clés de répartition'!D101/60*2*$B$11*$B$10*$B$12</f>
        <v>2354.7735436172989</v>
      </c>
      <c r="E27" s="53">
        <f>'Clés de répartition'!E101/60*2*$B$11*$B$10*$B$12</f>
        <v>1851.7669128944078</v>
      </c>
      <c r="F27" s="20"/>
      <c r="G27" s="20"/>
      <c r="H27" s="20"/>
      <c r="I27" s="20"/>
    </row>
    <row r="28" spans="1:9">
      <c r="A28" s="19" t="s">
        <v>80</v>
      </c>
      <c r="B28" s="53">
        <f>'Clés de répartition'!B102/60*2*$B$11*$B$10*$B$12</f>
        <v>2397.8154448841015</v>
      </c>
      <c r="C28" s="53">
        <f>'Clés de répartition'!C102/60*2*$B$11*$B$10*$B$12</f>
        <v>5636.3130870086952</v>
      </c>
      <c r="D28" s="53">
        <f>'Clés de répartition'!D102/60*2*$B$11*$B$10*$B$12</f>
        <v>3783.7645119031449</v>
      </c>
      <c r="E28" s="53">
        <f>'Clés de répartition'!E102/60*2*$B$11*$B$10*$B$12</f>
        <v>1503.1231381545749</v>
      </c>
      <c r="F28" s="20"/>
      <c r="G28" s="20"/>
      <c r="H28" s="20"/>
      <c r="I28" s="20"/>
    </row>
    <row r="29" spans="1:9">
      <c r="A29" s="19" t="s">
        <v>81</v>
      </c>
      <c r="B29" s="53">
        <f>'Clés de répartition'!B103/60*2*$B$11*$B$10*$B$12</f>
        <v>2374.7582261113903</v>
      </c>
      <c r="C29" s="53">
        <f>'Clés de répartition'!C103/60*2*$B$11*$B$10*$B$12</f>
        <v>4578.8098848218178</v>
      </c>
      <c r="D29" s="53">
        <f>'Clés de répartition'!D103/60*2*$B$11*$B$10*$B$12</f>
        <v>3255.2164193302838</v>
      </c>
      <c r="E29" s="53">
        <f>'Clés de répartition'!E103/60*2*$B$11*$B$10*$B$12</f>
        <v>1847.1097775353064</v>
      </c>
      <c r="F29" s="20"/>
      <c r="G29" s="20"/>
      <c r="H29" s="20"/>
      <c r="I29" s="20"/>
    </row>
    <row r="30" spans="1:9">
      <c r="A30" s="19" t="s">
        <v>78</v>
      </c>
      <c r="B30" s="53">
        <f>'Clés de répartition'!B104/60*2*$B$11*$B$10*$B$12</f>
        <v>1825.1107437201449</v>
      </c>
      <c r="C30" s="53">
        <f>'Clés de répartition'!C104/60*2*$B$11*$B$10*$B$12</f>
        <v>4459.8943341119884</v>
      </c>
      <c r="D30" s="53">
        <f>'Clés de répartition'!D104/60*2*$B$11*$B$10*$B$12</f>
        <v>3071.2145759935738</v>
      </c>
      <c r="E30" s="53">
        <f>'Clés de répartition'!E104/60*2*$B$11*$B$10*$B$12</f>
        <v>2422.2917917686718</v>
      </c>
      <c r="F30" s="20"/>
      <c r="G30" s="20"/>
      <c r="H30" s="20"/>
      <c r="I30" s="20"/>
    </row>
    <row r="31" spans="1:9">
      <c r="A31" s="19" t="s">
        <v>82</v>
      </c>
      <c r="B31" s="53">
        <f>'Clés de répartition'!B105/60*2*$B$11*$B$10*$B$12</f>
        <v>1776.2043427104782</v>
      </c>
      <c r="C31" s="53">
        <f>'Clés de répartition'!C105/60*2*$B$11*$B$10*$B$12</f>
        <v>5541.9806753010234</v>
      </c>
      <c r="D31" s="53">
        <f>'Clés de répartition'!D105/60*2*$B$11*$B$10*$B$12</f>
        <v>2290.8825310994935</v>
      </c>
      <c r="E31" s="53">
        <f>'Clés de répartition'!E105/60*2*$B$11*$B$10*$B$12</f>
        <v>1855.9492462716682</v>
      </c>
      <c r="F31" s="20"/>
      <c r="G31" s="20"/>
      <c r="H31" s="20"/>
      <c r="I31" s="20"/>
    </row>
    <row r="32" spans="1:9">
      <c r="A32" s="19" t="s">
        <v>83</v>
      </c>
      <c r="B32" s="53">
        <f>'Clés de répartition'!B106/60*2*$B$11*$B$10*$B$12</f>
        <v>2209.2050034537697</v>
      </c>
      <c r="C32" s="53">
        <f>'Clés de répartition'!C106/60*2*$B$11*$B$10*$B$12</f>
        <v>5834.12125821889</v>
      </c>
      <c r="D32" s="53">
        <f>'Clés de répartition'!D106/60*2*$B$11*$B$10*$B$12</f>
        <v>1038.3333333333335</v>
      </c>
      <c r="E32" s="53">
        <f>'Clés de répartition'!E106/60*2*$B$11*$B$10*$B$12</f>
        <v>1175.5376591894601</v>
      </c>
      <c r="F32" s="20"/>
      <c r="G32" s="20"/>
      <c r="H32" s="20"/>
      <c r="I32" s="20"/>
    </row>
    <row r="33" spans="1:9">
      <c r="A33" s="19" t="s">
        <v>84</v>
      </c>
      <c r="B33" s="53">
        <f>'Clés de répartition'!B107/60*2*$B$11*$B$10*$B$12</f>
        <v>2724.0528642408317</v>
      </c>
      <c r="C33" s="53">
        <f>'Clés de répartition'!C107/60*2*$B$11*$B$10*$B$12</f>
        <v>10707.09766052445</v>
      </c>
      <c r="D33" s="53">
        <f>'Clés de répartition'!D107/60*2*$B$11*$B$10*$B$12</f>
        <v>6178.9052744886958</v>
      </c>
      <c r="E33" s="53">
        <f>'Clés de répartition'!E107/60*2*$B$11*$B$10*$B$12</f>
        <v>0</v>
      </c>
      <c r="F33" s="20"/>
      <c r="G33" s="20"/>
      <c r="H33" s="20"/>
      <c r="I33" s="20"/>
    </row>
    <row r="34" spans="1:9">
      <c r="A34" s="19" t="s">
        <v>85</v>
      </c>
      <c r="B34" s="53">
        <f>'Clés de répartition'!B108/60*2*$B$11*$B$10*$B$12</f>
        <v>1701.09921966355</v>
      </c>
      <c r="C34" s="53">
        <f>'Clés de répartition'!C108/60*2*$B$11*$B$10*$B$12</f>
        <v>3355.2607801788363</v>
      </c>
      <c r="D34" s="53">
        <f>'Clés de répartition'!D108/60*2*$B$11*$B$10*$B$12</f>
        <v>1720.0842140477334</v>
      </c>
      <c r="E34" s="53">
        <f>'Clés de répartition'!E108/60*2*$B$11*$B$10*$B$12</f>
        <v>2474.6953717491951</v>
      </c>
      <c r="F34" s="20"/>
      <c r="G34" s="20"/>
      <c r="H34" s="20"/>
      <c r="I34" s="20"/>
    </row>
    <row r="35" spans="1:9">
      <c r="A35" s="107" t="s">
        <v>585</v>
      </c>
      <c r="B35" s="269"/>
      <c r="C35" s="269"/>
      <c r="D35" s="269"/>
      <c r="E35" s="269"/>
    </row>
    <row r="36" spans="1:9">
      <c r="A36" s="597" t="s">
        <v>154</v>
      </c>
      <c r="B36" s="53">
        <f>'Clés de répartition'!B110/60*2*$B$11*$B$10*$B$12</f>
        <v>2179.4427097478001</v>
      </c>
      <c r="C36" s="53">
        <f>'Clés de répartition'!C110/60*2*$B$11*$B$10*$B$12</f>
        <v>4677.1141659896502</v>
      </c>
      <c r="D36" s="53">
        <f>'Clés de répartition'!D110/60*2*$B$11*$B$10*$B$12</f>
        <v>2924.3200342484802</v>
      </c>
      <c r="E36" s="53">
        <f>'Clés de répartition'!E110/60*2*$B$11*$B$10*$B$12</f>
        <v>1669.2803117588151</v>
      </c>
      <c r="F36" s="53"/>
      <c r="G36" s="249"/>
      <c r="H36" s="249"/>
      <c r="I36" s="249"/>
    </row>
    <row r="37" spans="1:9">
      <c r="A37" s="597" t="s">
        <v>155</v>
      </c>
      <c r="B37" s="53">
        <f>'Clés de répartition'!B111/60*2*$B$11*$B$10*$B$12</f>
        <v>2228.0171633061182</v>
      </c>
      <c r="C37" s="53">
        <f>'Clés de répartition'!C111/60*2*$B$11*$B$10*$B$12</f>
        <v>5021.209949677961</v>
      </c>
      <c r="D37" s="53">
        <f>'Clés de répartition'!D111/60*2*$B$11*$B$10*$B$12</f>
        <v>4045.61063872861</v>
      </c>
      <c r="E37" s="53">
        <f>'Clés de répartition'!E111/60*2*$B$11*$B$10*$B$12</f>
        <v>1698.7812930933949</v>
      </c>
      <c r="F37" s="249"/>
      <c r="G37" s="249"/>
      <c r="H37" s="249"/>
      <c r="I37" s="249"/>
    </row>
    <row r="38" spans="1:9">
      <c r="A38" s="597" t="s">
        <v>156</v>
      </c>
      <c r="B38" s="53">
        <f>'Clés de répartition'!B112/60*2*$B$11*$B$10*$B$12</f>
        <v>1871.9958823310963</v>
      </c>
      <c r="C38" s="53">
        <f>'Clés de répartition'!C112/60*2*$B$11*$B$10*$B$12</f>
        <v>3824.2513685953727</v>
      </c>
      <c r="D38" s="53">
        <f>'Clés de répartition'!D112/60*2*$B$11*$B$10*$B$12</f>
        <v>2557.8150574706101</v>
      </c>
      <c r="E38" s="53">
        <f>'Clés de répartition'!E112/60*2*$B$11*$B$10*$B$12</f>
        <v>1975.1338802758619</v>
      </c>
      <c r="F38" s="249"/>
      <c r="G38" s="249"/>
      <c r="H38" s="249"/>
      <c r="I38" s="249"/>
    </row>
    <row r="39" spans="1:9">
      <c r="A39" s="597" t="s">
        <v>403</v>
      </c>
      <c r="B39" s="53">
        <f>'Clés de répartition'!B113/60*2*$B$11*$B$10*$B$12</f>
        <v>2606.21093712112</v>
      </c>
      <c r="C39" s="53">
        <f>'Clés de répartition'!C113/60*2*$B$11*$B$10*$B$12</f>
        <v>6813.3240884105717</v>
      </c>
      <c r="D39" s="53">
        <f>'Clés de répartition'!D113/60*2*$B$11*$B$10*$B$12</f>
        <v>3258.678270545227</v>
      </c>
      <c r="E39" s="53">
        <f>'Clés de répartition'!E113/60*2*$B$11*$B$10*$B$12</f>
        <v>1628.1485757036967</v>
      </c>
      <c r="F39" s="249"/>
      <c r="G39" s="249"/>
      <c r="H39" s="249"/>
      <c r="I39" s="249"/>
    </row>
    <row r="40" spans="1:9">
      <c r="A40" s="597" t="s">
        <v>168</v>
      </c>
      <c r="B40" s="53">
        <f>'Clés de répartition'!B114/60*2*$B$11*$B$10*$B$12</f>
        <v>2218.7742582034516</v>
      </c>
      <c r="C40" s="53">
        <f>'Clés de répartition'!C114/60*2*$B$11*$B$10*$B$12</f>
        <v>5213.1686654181285</v>
      </c>
      <c r="D40" s="53">
        <f>'Clés de répartition'!D114/60*2*$B$11*$B$10*$B$12</f>
        <v>3382.5828551614636</v>
      </c>
      <c r="E40" s="53">
        <f>'Clés de répartition'!E114/60*2*$B$11*$B$10*$B$12</f>
        <v>1224.7199441633215</v>
      </c>
      <c r="F40" s="249"/>
      <c r="G40" s="249"/>
      <c r="H40" s="249"/>
      <c r="I40" s="249"/>
    </row>
    <row r="41" spans="1:9">
      <c r="A41" s="597" t="s">
        <v>167</v>
      </c>
      <c r="B41" s="53">
        <f>'Clés de répartition'!B115/60*2*$B$11*$B$10*$B$12</f>
        <v>1883.8173223908734</v>
      </c>
      <c r="C41" s="53">
        <f>'Clés de répartition'!C115/60*2*$B$11*$B$10*$B$12</f>
        <v>5136.4022003921427</v>
      </c>
      <c r="D41" s="53">
        <f>'Clés de répartition'!D115/60*2*$B$11*$B$10*$B$12</f>
        <v>3000.2807695518932</v>
      </c>
      <c r="E41" s="53">
        <f>'Clés de répartition'!E115/60*2*$B$11*$B$10*$B$12</f>
        <v>1313.7363779569982</v>
      </c>
      <c r="F41" s="249"/>
      <c r="G41" s="249"/>
      <c r="H41" s="249"/>
      <c r="I41" s="249"/>
    </row>
    <row r="42" spans="1:9">
      <c r="A42" s="597" t="s">
        <v>170</v>
      </c>
      <c r="B42" s="53">
        <f>'Clés de répartition'!B116/60*2*$B$11*$B$10*$B$12</f>
        <v>2207.4301725420814</v>
      </c>
      <c r="C42" s="53">
        <f>'Clés de répartition'!C116/60*2*$B$11*$B$10*$B$12</f>
        <v>4313.7528133915603</v>
      </c>
      <c r="D42" s="53">
        <f>'Clés de répartition'!D116/60*2*$B$11*$B$10*$B$12</f>
        <v>2557.7294980611964</v>
      </c>
      <c r="E42" s="53">
        <f>'Clés de répartition'!E116/60*2*$B$11*$B$10*$B$12</f>
        <v>1792.192206478765</v>
      </c>
      <c r="F42" s="249"/>
      <c r="G42" s="249"/>
      <c r="H42" s="249"/>
      <c r="I42" s="249"/>
    </row>
    <row r="43" spans="1:9">
      <c r="A43" s="597" t="s">
        <v>171</v>
      </c>
      <c r="B43" s="53">
        <f>'Clés de répartition'!B117/60*2*$B$11*$B$10*$B$12</f>
        <v>2333.7755160538818</v>
      </c>
      <c r="C43" s="53">
        <f>'Clés de répartition'!C117/60*2*$B$11*$B$10*$B$12</f>
        <v>5268.9176931840393</v>
      </c>
      <c r="D43" s="53">
        <f>'Clés de répartition'!D117/60*2*$B$11*$B$10*$B$12</f>
        <v>4307.7749234958901</v>
      </c>
      <c r="E43" s="53">
        <f>'Clés de répartition'!E117/60*2*$B$11*$B$10*$B$12</f>
        <v>1381.0691919293499</v>
      </c>
      <c r="F43" s="249"/>
      <c r="G43" s="249"/>
      <c r="H43" s="249"/>
      <c r="I43" s="249"/>
    </row>
    <row r="44" spans="1:9">
      <c r="A44" s="597" t="s">
        <v>172</v>
      </c>
      <c r="B44" s="53">
        <f>'Clés de répartition'!B118/60*2*$B$11*$B$10*$B$12</f>
        <v>1956.5854155496017</v>
      </c>
      <c r="C44" s="53">
        <f>'Clés de répartition'!C118/60*2*$B$11*$B$10*$B$12</f>
        <v>3198.6415029045047</v>
      </c>
      <c r="D44" s="53">
        <f>'Clés de répartition'!D118/60*2*$B$11*$B$10*$B$12</f>
        <v>2091.8556279945101</v>
      </c>
      <c r="E44" s="53">
        <f>'Clés de répartition'!E118/60*2*$B$11*$B$10*$B$12</f>
        <v>1986.0838598126634</v>
      </c>
      <c r="F44" s="249"/>
      <c r="G44" s="249"/>
      <c r="H44" s="249"/>
      <c r="I44" s="249"/>
    </row>
    <row r="45" spans="1:9">
      <c r="A45" s="597" t="s">
        <v>173</v>
      </c>
      <c r="B45" s="53">
        <f>'Clés de répartition'!B119/60*2*$B$11*$B$10*$B$12</f>
        <v>2354.5732286729099</v>
      </c>
      <c r="C45" s="53">
        <f>'Clés de répartition'!C119/60*2*$B$11*$B$10*$B$12</f>
        <v>7078.6535396639065</v>
      </c>
      <c r="D45" s="53">
        <f>'Clés de répartition'!D119/60*2*$B$11*$B$10*$B$12</f>
        <v>1446.8922273024214</v>
      </c>
      <c r="E45" s="53">
        <f>'Clés de répartition'!E119/60*2*$B$11*$B$10*$B$12</f>
        <v>2091.1657643539015</v>
      </c>
      <c r="F45" s="249"/>
      <c r="G45" s="249"/>
      <c r="H45" s="249"/>
      <c r="I45" s="249"/>
    </row>
    <row r="46" spans="1:9">
      <c r="A46" s="597" t="s">
        <v>350</v>
      </c>
      <c r="B46" s="53">
        <f>'Clés de répartition'!B120/60*2*$B$11*$B$10*$B$12</f>
        <v>2326.3389655820183</v>
      </c>
      <c r="C46" s="53">
        <f>'Clés de répartition'!C120/60*2*$B$11*$B$10*$B$12</f>
        <v>3573.8375171197886</v>
      </c>
      <c r="D46" s="53">
        <f>'Clés de répartition'!D120/60*2*$B$11*$B$10*$B$12</f>
        <v>1921.4737502890998</v>
      </c>
      <c r="E46" s="53">
        <f>'Clés de répartition'!E120/60*2*$B$11*$B$10*$B$12</f>
        <v>2363.421534214825</v>
      </c>
      <c r="F46" s="249"/>
      <c r="G46" s="249"/>
      <c r="H46" s="249"/>
      <c r="I46" s="249"/>
    </row>
    <row r="47" spans="1:9">
      <c r="A47" s="597" t="s">
        <v>174</v>
      </c>
      <c r="B47" s="53">
        <f>'Clés de répartition'!B121/60*2*$B$11*$B$10*$B$12</f>
        <v>2571.9129226766736</v>
      </c>
      <c r="C47" s="53">
        <f>'Clés de répartition'!C121/60*2*$B$11*$B$10*$B$12</f>
        <v>5977.7280303818825</v>
      </c>
      <c r="D47" s="53">
        <f>'Clés de répartition'!D121/60*2*$B$11*$B$10*$B$12</f>
        <v>4081.2714840830913</v>
      </c>
      <c r="E47" s="53">
        <f>'Clés de répartition'!E121/60*2*$B$11*$B$10*$B$12</f>
        <v>1635.3382800092918</v>
      </c>
      <c r="F47" s="249"/>
      <c r="G47" s="249"/>
      <c r="H47" s="249"/>
      <c r="I47" s="249"/>
    </row>
    <row r="48" spans="1:9">
      <c r="A48" s="597" t="s">
        <v>175</v>
      </c>
      <c r="B48" s="53">
        <f>'Clés de répartition'!B122/60*2*$B$11*$B$10*$B$12</f>
        <v>2277.8844578823664</v>
      </c>
      <c r="C48" s="53">
        <f>'Clés de répartition'!C122/60*2*$B$11*$B$10*$B$12</f>
        <v>4020.5161441120663</v>
      </c>
      <c r="D48" s="53">
        <f>'Clés de répartition'!D122/60*2*$B$11*$B$10*$B$12</f>
        <v>2331.5202754029901</v>
      </c>
      <c r="E48" s="53">
        <f>'Clés de répartition'!E122/60*2*$B$11*$B$10*$B$12</f>
        <v>1924.0438288494497</v>
      </c>
      <c r="F48" s="249"/>
      <c r="G48" s="249"/>
      <c r="H48" s="249"/>
      <c r="I48" s="249"/>
    </row>
    <row r="49" spans="1:9">
      <c r="A49" s="597" t="s">
        <v>176</v>
      </c>
      <c r="B49" s="53">
        <f>'Clés de répartition'!B123/60*2*$B$11*$B$10*$B$12</f>
        <v>1982.8745609078119</v>
      </c>
      <c r="C49" s="53">
        <f>'Clés de répartition'!C123/60*2*$B$11*$B$10*$B$12</f>
        <v>4781.423498403954</v>
      </c>
      <c r="D49" s="53">
        <f>'Clés de répartition'!D123/60*2*$B$11*$B$10*$B$12</f>
        <v>2039.2098567901198</v>
      </c>
      <c r="E49" s="53">
        <f>'Clés de répartition'!E123/60*2*$B$11*$B$10*$B$12</f>
        <v>1907.6125166202185</v>
      </c>
      <c r="F49" s="249"/>
      <c r="G49" s="249"/>
      <c r="H49" s="249"/>
      <c r="I49" s="249"/>
    </row>
    <row r="50" spans="1:9">
      <c r="A50" s="597" t="s">
        <v>177</v>
      </c>
      <c r="B50" s="53">
        <f>'Clés de répartition'!B124/60*2*$B$11*$B$10*$B$12</f>
        <v>2189.6859478368347</v>
      </c>
      <c r="C50" s="53">
        <f>'Clés de répartition'!C124/60*2*$B$11*$B$10*$B$12</f>
        <v>4795.9303343690781</v>
      </c>
      <c r="D50" s="53">
        <f>'Clés de répartition'!D124/60*2*$B$11*$B$10*$B$12</f>
        <v>2419.0194215748397</v>
      </c>
      <c r="E50" s="53">
        <f>'Clés de répartition'!E124/60*2*$B$11*$B$10*$B$12</f>
        <v>1524.4194583444748</v>
      </c>
      <c r="F50" s="249"/>
      <c r="G50" s="249"/>
      <c r="H50" s="249"/>
      <c r="I50" s="249"/>
    </row>
    <row r="51" spans="1:9">
      <c r="A51" s="597" t="s">
        <v>351</v>
      </c>
      <c r="B51" s="53">
        <f>'Clés de répartition'!B125/60*2*$B$11*$B$10*$B$12</f>
        <v>2091.1337669228301</v>
      </c>
      <c r="C51" s="53">
        <f>'Clés de répartition'!C125/60*2*$B$11*$B$10*$B$12</f>
        <v>3704.4488864246619</v>
      </c>
      <c r="D51" s="53">
        <f>'Clés de répartition'!D125/60*2*$B$11*$B$10*$B$12</f>
        <v>1987.8595096265849</v>
      </c>
      <c r="E51" s="53">
        <f>'Clés de répartition'!E125/60*2*$B$11*$B$10*$B$12</f>
        <v>2061.9351968839046</v>
      </c>
      <c r="F51" s="249"/>
      <c r="G51" s="249"/>
      <c r="H51" s="249"/>
      <c r="I51" s="249"/>
    </row>
    <row r="52" spans="1:9">
      <c r="A52" s="597" t="s">
        <v>856</v>
      </c>
      <c r="B52" s="53">
        <f>'Clés de répartition'!B126/60*2*$B$11*$B$10*$B$12</f>
        <v>2169.472791240767</v>
      </c>
      <c r="C52" s="53">
        <f>'Clés de répartition'!C126/60*2*$B$11*$B$10*$B$12</f>
        <v>4332.1273569914783</v>
      </c>
      <c r="D52" s="53">
        <f>'Clés de répartition'!D126/60*2*$B$11*$B$10*$B$12</f>
        <v>3673.7272161221099</v>
      </c>
      <c r="E52" s="53">
        <f>'Clés de répartition'!E126/60*2*$B$11*$B$10*$B$12</f>
        <v>1654.6828406103918</v>
      </c>
      <c r="F52" s="249"/>
      <c r="G52" s="249"/>
      <c r="H52" s="249"/>
      <c r="I52" s="249"/>
    </row>
    <row r="53" spans="1:9">
      <c r="A53" s="597" t="s">
        <v>178</v>
      </c>
      <c r="B53" s="53">
        <f>'Clés de répartition'!B127/60*2*$B$11*$B$10*$B$12</f>
        <v>2103.1480150087164</v>
      </c>
      <c r="C53" s="53">
        <f>'Clés de répartition'!C127/60*2*$B$11*$B$10*$B$12</f>
        <v>3292.659316514505</v>
      </c>
      <c r="D53" s="53">
        <f>'Clés de répartition'!D127/60*2*$B$11*$B$10*$B$12</f>
        <v>1933.0773419920552</v>
      </c>
      <c r="E53" s="53">
        <f>'Clés de répartition'!E127/60*2*$B$11*$B$10*$B$12</f>
        <v>1864.7253440256234</v>
      </c>
      <c r="F53" s="249"/>
      <c r="G53" s="249"/>
      <c r="H53" s="249"/>
      <c r="I53" s="249"/>
    </row>
    <row r="54" spans="1:9">
      <c r="A54" s="597" t="s">
        <v>179</v>
      </c>
      <c r="B54" s="53">
        <f>'Clés de répartition'!B128/60*2*$B$11*$B$10*$B$12</f>
        <v>2165.9570098025529</v>
      </c>
      <c r="C54" s="53">
        <f>'Clés de répartition'!C128/60*2*$B$11*$B$10*$B$12</f>
        <v>4058.4711081503874</v>
      </c>
      <c r="D54" s="53">
        <f>'Clés de répartition'!D128/60*2*$B$11*$B$10*$B$12</f>
        <v>2401.9921159240885</v>
      </c>
      <c r="E54" s="53">
        <f>'Clés de répartition'!E128/60*2*$B$11*$B$10*$B$12</f>
        <v>1471.6876161452267</v>
      </c>
      <c r="F54" s="249"/>
      <c r="G54" s="249"/>
      <c r="H54" s="249"/>
      <c r="I54" s="249"/>
    </row>
    <row r="56" spans="1:9">
      <c r="B56" s="288"/>
      <c r="C56" s="75"/>
      <c r="D56" s="3"/>
      <c r="E56" s="3"/>
    </row>
    <row r="57" spans="1:9">
      <c r="B57" s="66"/>
      <c r="C57" s="74"/>
    </row>
    <row r="58" spans="1:9">
      <c r="B58" s="66"/>
      <c r="C58" s="20"/>
    </row>
    <row r="59" spans="1:9">
      <c r="B59" s="66"/>
      <c r="C59" s="52"/>
    </row>
    <row r="60" spans="1:9">
      <c r="B60" s="66"/>
      <c r="C60" s="52"/>
    </row>
    <row r="61" spans="1:9">
      <c r="B61" s="66"/>
      <c r="C61" s="226"/>
    </row>
    <row r="62" spans="1:9">
      <c r="B62" s="66"/>
      <c r="C62" s="168"/>
    </row>
    <row r="63" spans="1:9">
      <c r="B63" s="66"/>
      <c r="C63" s="168"/>
    </row>
    <row r="64" spans="1:9">
      <c r="B64" s="66"/>
      <c r="C64" s="76"/>
    </row>
  </sheetData>
  <mergeCells count="1">
    <mergeCell ref="A4:E4"/>
  </mergeCells>
  <hyperlinks>
    <hyperlink ref="A15" r:id="rId1" location="tri_sal=2&amp;tri_sexe=1" xr:uid="{2FBCABFD-30D5-EE41-997E-1C918D9C9A47}"/>
    <hyperlink ref="A1" location="'Table des matières'!A1" display="Retour à la Table des matières" xr:uid="{67E964C8-5C70-7441-A66F-FEBC6FCDA471}"/>
  </hyperlink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B69C77-00D1-4F44-9065-E6ABA32DC075}">
  <sheetPr codeName="Sheet8"/>
  <dimension ref="A1:Z75"/>
  <sheetViews>
    <sheetView workbookViewId="0">
      <selection activeCell="C15" sqref="C15"/>
    </sheetView>
  </sheetViews>
  <sheetFormatPr baseColWidth="10" defaultRowHeight="16"/>
  <cols>
    <col min="1" max="1" width="73.33203125" customWidth="1"/>
    <col min="2" max="2" width="27.1640625" customWidth="1"/>
    <col min="3" max="3" width="17.33203125" customWidth="1"/>
    <col min="4" max="4" width="18" customWidth="1"/>
    <col min="7" max="7" width="17.1640625" customWidth="1"/>
    <col min="8" max="8" width="17.6640625" bestFit="1" customWidth="1"/>
    <col min="10" max="10" width="17.6640625" bestFit="1" customWidth="1"/>
    <col min="11" max="11" width="11.33203125" customWidth="1"/>
    <col min="16" max="16" width="17.6640625" customWidth="1"/>
    <col min="20" max="20" width="16" bestFit="1" customWidth="1"/>
  </cols>
  <sheetData>
    <row r="1" spans="1:26">
      <c r="A1" s="501" t="s">
        <v>841</v>
      </c>
    </row>
    <row r="2" spans="1:26" ht="26">
      <c r="A2" s="47" t="s">
        <v>27</v>
      </c>
    </row>
    <row r="3" spans="1:26" ht="16" customHeight="1">
      <c r="H3" s="704" t="s">
        <v>331</v>
      </c>
      <c r="I3" s="704"/>
      <c r="J3" s="704"/>
      <c r="K3" s="704"/>
    </row>
    <row r="4" spans="1:26" ht="72" customHeight="1">
      <c r="A4" s="637" t="s">
        <v>892</v>
      </c>
      <c r="B4" s="637"/>
      <c r="H4" s="704"/>
      <c r="I4" s="704"/>
      <c r="J4" s="704"/>
      <c r="K4" s="704"/>
    </row>
    <row r="5" spans="1:26" ht="17" thickBot="1">
      <c r="A5" s="52"/>
      <c r="B5" s="81" t="s">
        <v>10</v>
      </c>
      <c r="C5" s="81" t="s">
        <v>321</v>
      </c>
      <c r="H5" t="s">
        <v>330</v>
      </c>
      <c r="I5" s="53">
        <v>88.72</v>
      </c>
      <c r="J5" t="s">
        <v>948</v>
      </c>
      <c r="K5" s="53">
        <v>63.01</v>
      </c>
    </row>
    <row r="6" spans="1:26">
      <c r="A6" s="19" t="s">
        <v>947</v>
      </c>
      <c r="B6" s="54">
        <f>C16+C29-C27-C26</f>
        <v>666790259.1192534</v>
      </c>
      <c r="C6" s="54">
        <f>D29-D26-D27</f>
        <v>255.37418498728292</v>
      </c>
      <c r="H6" t="s">
        <v>222</v>
      </c>
      <c r="I6" s="53">
        <f>133+5.2</f>
        <v>138.19999999999999</v>
      </c>
      <c r="J6" t="s">
        <v>949</v>
      </c>
      <c r="K6" s="53">
        <f>66.16+6.96</f>
        <v>73.11999999999999</v>
      </c>
      <c r="L6" s="54" t="s">
        <v>950</v>
      </c>
      <c r="M6" s="53">
        <f>30+59</f>
        <v>89</v>
      </c>
    </row>
    <row r="7" spans="1:26">
      <c r="A7" s="19" t="s">
        <v>258</v>
      </c>
      <c r="B7" s="54">
        <f>C27+C26</f>
        <v>47900691.044497669</v>
      </c>
      <c r="C7" s="54">
        <f>D27+D26</f>
        <v>43.685378608522022</v>
      </c>
      <c r="H7" t="s">
        <v>951</v>
      </c>
      <c r="I7" s="54">
        <f>I5+(I6)*'Clés de répartition'!$I$134</f>
        <v>188.75807232341015</v>
      </c>
      <c r="J7" t="s">
        <v>952</v>
      </c>
      <c r="K7" s="53">
        <f>K5+K6*'Clés de répartition'!I134</f>
        <v>115.93897140584478</v>
      </c>
      <c r="L7" s="172" t="s">
        <v>953</v>
      </c>
      <c r="M7" s="54">
        <f>M5+(M6)*'Clés de répartition'!$I$134</f>
        <v>64.423939484685263</v>
      </c>
    </row>
    <row r="8" spans="1:26">
      <c r="L8" s="54"/>
    </row>
    <row r="9" spans="1:26">
      <c r="A9" s="107" t="s">
        <v>216</v>
      </c>
      <c r="B9" s="108" t="s">
        <v>218</v>
      </c>
      <c r="C9" s="3" t="s">
        <v>219</v>
      </c>
      <c r="D9" s="3" t="s">
        <v>329</v>
      </c>
      <c r="E9" s="3" t="s">
        <v>227</v>
      </c>
    </row>
    <row r="10" spans="1:26">
      <c r="A10" s="19" t="s">
        <v>217</v>
      </c>
      <c r="B10" s="53">
        <v>2127000000</v>
      </c>
      <c r="C10" s="54">
        <f>B10*($C$34/$B$34)</f>
        <v>306282453.75145549</v>
      </c>
      <c r="D10" s="54">
        <f>C10/C34*'Clés de répartition'!I134</f>
        <v>220.10594113368438</v>
      </c>
      <c r="E10" t="s">
        <v>335</v>
      </c>
      <c r="J10" s="88"/>
    </row>
    <row r="11" spans="1:26" ht="20">
      <c r="A11" s="19"/>
      <c r="B11" s="54"/>
      <c r="C11" s="59"/>
      <c r="E11" s="353" t="s">
        <v>679</v>
      </c>
      <c r="O11" s="171"/>
      <c r="P11" s="171"/>
      <c r="Q11" s="171"/>
      <c r="R11" s="171"/>
      <c r="S11" s="171"/>
      <c r="T11" s="171"/>
      <c r="U11" s="171"/>
      <c r="V11" s="171"/>
      <c r="W11" s="171"/>
      <c r="X11" s="171"/>
      <c r="Y11" s="171"/>
      <c r="Z11" s="171"/>
    </row>
    <row r="13" spans="1:26">
      <c r="A13" s="107" t="s">
        <v>220</v>
      </c>
      <c r="B13" s="108" t="s">
        <v>218</v>
      </c>
      <c r="C13" s="3" t="s">
        <v>219</v>
      </c>
      <c r="J13" s="54"/>
    </row>
    <row r="14" spans="1:26">
      <c r="A14" s="19" t="s">
        <v>221</v>
      </c>
      <c r="B14" s="53">
        <v>257868000</v>
      </c>
      <c r="C14" s="54">
        <f>B14*($C$32/$B$32)</f>
        <v>48957125.116189182</v>
      </c>
      <c r="D14" s="54">
        <f>C14/C32</f>
        <v>45.59478340851188</v>
      </c>
      <c r="E14" t="s">
        <v>241</v>
      </c>
    </row>
    <row r="15" spans="1:26">
      <c r="A15" s="19" t="s">
        <v>222</v>
      </c>
      <c r="B15" s="53">
        <v>561785000</v>
      </c>
      <c r="C15" s="54">
        <f>B15*($C$34/$B$34)*F34</f>
        <v>63744114.03435412</v>
      </c>
      <c r="D15" s="54">
        <f>C15/C34*'Clés de répartition'!I134</f>
        <v>45.808886664627416</v>
      </c>
      <c r="E15" t="s">
        <v>242</v>
      </c>
      <c r="P15" s="173"/>
    </row>
    <row r="16" spans="1:26">
      <c r="A16" s="19" t="s">
        <v>40</v>
      </c>
      <c r="B16" s="54">
        <f>SUM(B14:B15)</f>
        <v>819653000</v>
      </c>
      <c r="C16" s="59">
        <f>SUM(C14:C15)</f>
        <v>112701239.1505433</v>
      </c>
      <c r="D16" s="59">
        <f>SUM(D14:D15)</f>
        <v>91.403670073139295</v>
      </c>
      <c r="E16" s="353" t="s">
        <v>646</v>
      </c>
      <c r="H16" s="53"/>
      <c r="P16" s="173"/>
    </row>
    <row r="17" spans="1:20">
      <c r="A17" s="19"/>
      <c r="B17" s="54"/>
      <c r="C17" s="59"/>
      <c r="H17" s="53"/>
    </row>
    <row r="18" spans="1:20">
      <c r="A18" s="107" t="s">
        <v>228</v>
      </c>
      <c r="B18" s="108" t="s">
        <v>218</v>
      </c>
      <c r="C18" s="3" t="s">
        <v>219</v>
      </c>
      <c r="H18" s="53"/>
    </row>
    <row r="19" spans="1:20">
      <c r="A19" s="19" t="s">
        <v>226</v>
      </c>
      <c r="B19" s="53">
        <v>171253000</v>
      </c>
      <c r="C19" s="53">
        <f t="shared" ref="C19:C25" si="0">B19*(($C$32/$B$32+$C$34/$B$34))</f>
        <v>57172955.448373936</v>
      </c>
      <c r="D19" s="54">
        <f>C19/(C32+C33/'Clés de répartition'!I134)</f>
        <v>26.344112644337557</v>
      </c>
      <c r="E19" t="s">
        <v>245</v>
      </c>
      <c r="H19" s="53"/>
    </row>
    <row r="20" spans="1:20">
      <c r="A20" s="19" t="s">
        <v>229</v>
      </c>
      <c r="B20" s="53">
        <v>76968000</v>
      </c>
      <c r="C20" s="53">
        <f t="shared" si="0"/>
        <v>25695830.350127853</v>
      </c>
      <c r="D20" s="54">
        <f>C20/(C32+C33/'Clés de répartition'!I134)</f>
        <v>11.840105936885037</v>
      </c>
      <c r="E20" t="s">
        <v>246</v>
      </c>
    </row>
    <row r="21" spans="1:20">
      <c r="A21" s="19" t="s">
        <v>230</v>
      </c>
      <c r="B21" s="53">
        <v>5278000</v>
      </c>
      <c r="C21" s="53">
        <f t="shared" si="0"/>
        <v>1762064.6578834685</v>
      </c>
      <c r="D21" s="54">
        <f>C21/(C32+C33/'Clés de répartition'!I134)</f>
        <v>0.81192286579980277</v>
      </c>
      <c r="E21" t="s">
        <v>245</v>
      </c>
      <c r="R21" s="53"/>
      <c r="T21" s="54"/>
    </row>
    <row r="22" spans="1:20">
      <c r="A22" s="19" t="s">
        <v>224</v>
      </c>
      <c r="B22" s="53">
        <v>1262786000</v>
      </c>
      <c r="C22" s="53">
        <f t="shared" si="0"/>
        <v>421582148.74384874</v>
      </c>
      <c r="D22" s="54">
        <f>C22/(C32+C33/'Clés de répartition'!I134)</f>
        <v>194.25631451532206</v>
      </c>
      <c r="E22" t="s">
        <v>247</v>
      </c>
      <c r="H22" s="53"/>
      <c r="R22" s="53"/>
      <c r="T22" s="54"/>
    </row>
    <row r="23" spans="1:20">
      <c r="A23" s="19" t="s">
        <v>224</v>
      </c>
      <c r="B23" s="53">
        <v>96797000</v>
      </c>
      <c r="C23" s="53">
        <f t="shared" si="0"/>
        <v>32315758.372327793</v>
      </c>
      <c r="D23" s="54">
        <f>C23/(C32+C33/'Clés de répartition'!I134)</f>
        <v>14.890431534828251</v>
      </c>
      <c r="E23" t="s">
        <v>248</v>
      </c>
      <c r="R23" s="53"/>
      <c r="T23" s="54"/>
    </row>
    <row r="24" spans="1:20">
      <c r="A24" s="19" t="s">
        <v>224</v>
      </c>
      <c r="B24" s="53">
        <v>44469000</v>
      </c>
      <c r="C24" s="53">
        <f t="shared" si="0"/>
        <v>14846012.366695711</v>
      </c>
      <c r="D24" s="54">
        <f>C24/(C32+C33/'Clés de répartition'!I134)</f>
        <v>6.8407347327115255</v>
      </c>
      <c r="E24" t="s">
        <v>249</v>
      </c>
      <c r="R24" s="53"/>
      <c r="T24" s="54"/>
    </row>
    <row r="25" spans="1:20">
      <c r="A25" s="19" t="s">
        <v>225</v>
      </c>
      <c r="B25" s="53">
        <v>1731495</v>
      </c>
      <c r="C25" s="53">
        <f t="shared" si="0"/>
        <v>578061.03539256088</v>
      </c>
      <c r="D25" s="54">
        <f>C25/(C32+C33/'Clés de répartition'!I134)</f>
        <v>0.26635854159113859</v>
      </c>
      <c r="E25" t="s">
        <v>250</v>
      </c>
      <c r="R25" s="53"/>
      <c r="T25" s="54"/>
    </row>
    <row r="26" spans="1:20">
      <c r="A26" s="19" t="s">
        <v>231</v>
      </c>
      <c r="B26" s="19" t="s">
        <v>257</v>
      </c>
      <c r="C26" s="53">
        <v>35257000</v>
      </c>
      <c r="D26" s="54">
        <f>C26/C33*'Clés de répartition'!I134</f>
        <v>32.15434600243799</v>
      </c>
      <c r="E26" t="s">
        <v>326</v>
      </c>
      <c r="H26" s="53"/>
      <c r="R26" s="53"/>
      <c r="T26" s="54"/>
    </row>
    <row r="27" spans="1:20">
      <c r="A27" s="19" t="s">
        <v>232</v>
      </c>
      <c r="B27" s="53">
        <v>87805000</v>
      </c>
      <c r="C27" s="53">
        <f>B27*($C$34/$B$34)</f>
        <v>12643691.044497672</v>
      </c>
      <c r="D27" s="54">
        <f>C27/C33*'Clés de répartition'!I134</f>
        <v>11.531032606084032</v>
      </c>
      <c r="E27" t="s">
        <v>243</v>
      </c>
      <c r="H27" s="53"/>
      <c r="R27" s="53"/>
      <c r="T27" s="54"/>
    </row>
    <row r="28" spans="1:20">
      <c r="A28" s="19" t="s">
        <v>233</v>
      </c>
      <c r="B28" s="53">
        <v>857000</v>
      </c>
      <c r="C28" s="53">
        <f>B28*($C$33/$B$33)</f>
        <v>136188.99405999907</v>
      </c>
      <c r="D28" s="54">
        <f>C28/C33*'Clés de répartition'!I134</f>
        <v>0.12420421580761784</v>
      </c>
      <c r="E28" t="s">
        <v>244</v>
      </c>
      <c r="H28" s="98"/>
      <c r="R28" s="53"/>
      <c r="T28" s="54"/>
    </row>
    <row r="29" spans="1:20">
      <c r="A29" s="19" t="s">
        <v>40</v>
      </c>
      <c r="C29" s="59">
        <f>SUM(C19:C28)</f>
        <v>601989711.01320779</v>
      </c>
      <c r="D29" s="59">
        <f>SUM(D19:D28)</f>
        <v>299.05956359580495</v>
      </c>
      <c r="H29" s="53"/>
      <c r="T29" s="54"/>
    </row>
    <row r="30" spans="1:20">
      <c r="A30" s="19"/>
      <c r="C30" s="54"/>
      <c r="H30" s="53"/>
    </row>
    <row r="31" spans="1:20">
      <c r="B31" s="108" t="s">
        <v>259</v>
      </c>
      <c r="C31" s="3" t="s">
        <v>260</v>
      </c>
      <c r="D31" t="s">
        <v>251</v>
      </c>
      <c r="F31" t="s">
        <v>332</v>
      </c>
      <c r="H31" s="53"/>
      <c r="J31" s="54"/>
      <c r="T31" s="54"/>
    </row>
    <row r="32" spans="1:20">
      <c r="A32" s="19" t="s">
        <v>261</v>
      </c>
      <c r="B32" s="77">
        <v>5655647</v>
      </c>
      <c r="C32" s="77">
        <v>1073744</v>
      </c>
      <c r="D32" s="16">
        <f>C32/B32</f>
        <v>0.18985343321462603</v>
      </c>
      <c r="F32" s="16">
        <f>C33/C32</f>
        <v>0.73920040531076314</v>
      </c>
      <c r="H32" s="53"/>
      <c r="T32" s="54"/>
    </row>
    <row r="33" spans="1:20">
      <c r="A33" s="19" t="s">
        <v>263</v>
      </c>
      <c r="B33" s="77">
        <v>4994612</v>
      </c>
      <c r="C33" s="77">
        <v>793712</v>
      </c>
      <c r="D33" s="16">
        <f>C33/B33</f>
        <v>0.15891364534422295</v>
      </c>
      <c r="F33" t="s">
        <v>333</v>
      </c>
      <c r="H33" s="53"/>
    </row>
    <row r="34" spans="1:20">
      <c r="A34" s="19" t="s">
        <v>334</v>
      </c>
      <c r="B34" s="77">
        <v>6995085</v>
      </c>
      <c r="C34" s="77">
        <v>1007274</v>
      </c>
      <c r="D34" s="16">
        <f>C34/B34</f>
        <v>0.14399739245484508</v>
      </c>
      <c r="F34" s="16">
        <f>C33/C34</f>
        <v>0.78798023179393095</v>
      </c>
      <c r="H34" s="59"/>
      <c r="R34" s="53"/>
      <c r="T34" s="53"/>
    </row>
    <row r="35" spans="1:20">
      <c r="A35" s="19" t="s">
        <v>264</v>
      </c>
      <c r="B35" s="77">
        <v>76536</v>
      </c>
      <c r="C35" s="77">
        <v>13805</v>
      </c>
      <c r="D35" s="16">
        <f>C35/B35</f>
        <v>0.18037263509982229</v>
      </c>
      <c r="F35" s="16"/>
      <c r="H35" s="59"/>
      <c r="R35" s="53"/>
      <c r="T35" s="53"/>
    </row>
    <row r="36" spans="1:20">
      <c r="A36" s="19" t="s">
        <v>239</v>
      </c>
      <c r="B36" s="53">
        <v>1122000000</v>
      </c>
      <c r="C36" s="54">
        <f>B36*D35</f>
        <v>202378096.58200061</v>
      </c>
      <c r="H36" s="59"/>
      <c r="R36" s="53"/>
      <c r="T36" s="53"/>
    </row>
    <row r="37" spans="1:20">
      <c r="R37" s="53"/>
      <c r="T37" s="53"/>
    </row>
    <row r="38" spans="1:20">
      <c r="R38" s="53"/>
      <c r="T38" s="53"/>
    </row>
    <row r="39" spans="1:20">
      <c r="A39" s="107" t="s">
        <v>215</v>
      </c>
      <c r="B39" s="108">
        <v>2022</v>
      </c>
      <c r="C39" t="s">
        <v>252</v>
      </c>
      <c r="H39" s="53"/>
      <c r="R39" s="53"/>
      <c r="T39" s="53"/>
    </row>
    <row r="40" spans="1:20">
      <c r="A40" s="19" t="s">
        <v>212</v>
      </c>
      <c r="B40" s="53">
        <v>19848500</v>
      </c>
      <c r="C40" t="s">
        <v>234</v>
      </c>
      <c r="H40" s="53"/>
      <c r="R40" s="53"/>
      <c r="T40" s="53"/>
    </row>
    <row r="41" spans="1:20">
      <c r="A41" s="19" t="s">
        <v>213</v>
      </c>
      <c r="B41" s="53">
        <v>19456400</v>
      </c>
      <c r="C41" t="s">
        <v>235</v>
      </c>
      <c r="H41" s="53"/>
      <c r="R41" s="53"/>
      <c r="T41" s="53"/>
    </row>
    <row r="42" spans="1:20">
      <c r="A42" s="19" t="s">
        <v>214</v>
      </c>
      <c r="B42" s="53">
        <v>11467700</v>
      </c>
      <c r="C42" t="s">
        <v>236</v>
      </c>
      <c r="H42" s="53"/>
      <c r="R42" s="53"/>
      <c r="T42" s="53"/>
    </row>
    <row r="43" spans="1:20">
      <c r="A43" s="19" t="s">
        <v>40</v>
      </c>
      <c r="B43" s="59">
        <f>SUM(B40:B42)</f>
        <v>50772600</v>
      </c>
      <c r="H43" s="53"/>
      <c r="R43" s="53"/>
      <c r="T43" s="53"/>
    </row>
    <row r="44" spans="1:20">
      <c r="H44" s="53"/>
      <c r="T44" s="54"/>
    </row>
    <row r="45" spans="1:20">
      <c r="A45" s="19"/>
      <c r="B45" s="53"/>
      <c r="H45" s="53"/>
      <c r="T45" s="54"/>
    </row>
    <row r="46" spans="1:20">
      <c r="H46" s="54"/>
      <c r="T46" s="54"/>
    </row>
    <row r="47" spans="1:20">
      <c r="A47" s="23" t="s">
        <v>237</v>
      </c>
      <c r="T47" s="54"/>
    </row>
    <row r="48" spans="1:20">
      <c r="A48" s="45" t="s">
        <v>68</v>
      </c>
    </row>
    <row r="49" spans="1:20">
      <c r="A49" s="23" t="s">
        <v>238</v>
      </c>
      <c r="R49" s="53"/>
      <c r="T49" s="54"/>
    </row>
    <row r="50" spans="1:20">
      <c r="A50" s="45" t="s">
        <v>68</v>
      </c>
      <c r="R50" s="53"/>
      <c r="T50" s="54"/>
    </row>
    <row r="51" spans="1:20">
      <c r="A51" s="23" t="s">
        <v>223</v>
      </c>
      <c r="R51" s="53"/>
      <c r="T51" s="54"/>
    </row>
    <row r="52" spans="1:20">
      <c r="A52" s="45" t="s">
        <v>68</v>
      </c>
      <c r="R52" s="53"/>
      <c r="T52" s="54"/>
    </row>
    <row r="53" spans="1:20">
      <c r="A53" s="23" t="s">
        <v>240</v>
      </c>
      <c r="R53" s="53"/>
      <c r="T53" s="54"/>
    </row>
    <row r="54" spans="1:20">
      <c r="A54" s="45" t="s">
        <v>68</v>
      </c>
      <c r="R54" s="53"/>
      <c r="T54" s="54"/>
    </row>
    <row r="55" spans="1:20">
      <c r="A55" s="45" t="s">
        <v>262</v>
      </c>
      <c r="T55" s="54"/>
    </row>
    <row r="57" spans="1:20">
      <c r="R57" s="53"/>
      <c r="T57" s="54"/>
    </row>
    <row r="58" spans="1:20">
      <c r="R58" s="53"/>
      <c r="T58" s="54"/>
    </row>
    <row r="59" spans="1:20">
      <c r="R59" s="53"/>
      <c r="T59" s="54"/>
    </row>
    <row r="60" spans="1:20">
      <c r="R60" s="53"/>
      <c r="T60" s="54"/>
    </row>
    <row r="61" spans="1:20">
      <c r="R61" s="53"/>
      <c r="T61" s="54"/>
    </row>
    <row r="62" spans="1:20">
      <c r="R62" s="53"/>
      <c r="T62" s="54"/>
    </row>
    <row r="63" spans="1:20">
      <c r="R63" s="53"/>
      <c r="T63" s="54"/>
    </row>
    <row r="64" spans="1:20">
      <c r="R64" s="53"/>
      <c r="T64" s="54"/>
    </row>
    <row r="65" spans="16:20">
      <c r="R65" s="53"/>
      <c r="T65" s="54"/>
    </row>
    <row r="66" spans="16:20">
      <c r="R66" s="53"/>
      <c r="T66" s="54"/>
    </row>
    <row r="67" spans="16:20">
      <c r="R67" s="53"/>
      <c r="T67" s="54"/>
    </row>
    <row r="68" spans="16:20">
      <c r="R68" s="53"/>
      <c r="T68" s="54"/>
    </row>
    <row r="69" spans="16:20">
      <c r="R69" s="53"/>
      <c r="T69" s="54"/>
    </row>
    <row r="70" spans="16:20">
      <c r="T70" s="54"/>
    </row>
    <row r="71" spans="16:20">
      <c r="R71" s="53"/>
      <c r="T71" s="54"/>
    </row>
    <row r="72" spans="16:20">
      <c r="R72" s="53"/>
      <c r="T72" s="54"/>
    </row>
    <row r="73" spans="16:20">
      <c r="R73" s="53"/>
      <c r="T73" s="54"/>
    </row>
    <row r="74" spans="16:20">
      <c r="T74" s="54"/>
    </row>
    <row r="75" spans="16:20">
      <c r="P75" s="54"/>
    </row>
  </sheetData>
  <mergeCells count="2">
    <mergeCell ref="H3:K4"/>
    <mergeCell ref="A4:B4"/>
  </mergeCells>
  <hyperlinks>
    <hyperlink ref="A48" r:id="rId1" xr:uid="{94633618-07DC-1A4E-93B8-7D02690C0DBA}"/>
    <hyperlink ref="A50" r:id="rId2" xr:uid="{36B64FA8-E5D5-4048-AB33-F36668C85F2F}"/>
    <hyperlink ref="A52" r:id="rId3" xr:uid="{3A00367B-0C16-A442-9A35-D8581F7502B1}"/>
    <hyperlink ref="A54" r:id="rId4" xr:uid="{07A681AD-FD02-BB4C-9D7E-BACB59FF934D}"/>
    <hyperlink ref="A55" r:id="rId5" location="tri_pivot_1=500400095" xr:uid="{70576E9D-0CFD-8A4E-96DB-8264F8DE06B5}"/>
    <hyperlink ref="A1" location="'Table des matières'!A1" display="Retour à la Table des matières" xr:uid="{575A49DC-D0D8-3742-8B08-08359012124E}"/>
  </hyperlink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CF8F0C-7339-C44B-9945-AFFDB1AF6016}">
  <sheetPr codeName="Sheet9"/>
  <dimension ref="A1:K125"/>
  <sheetViews>
    <sheetView zoomScaleNormal="100" workbookViewId="0">
      <selection activeCell="E9" sqref="E9"/>
    </sheetView>
  </sheetViews>
  <sheetFormatPr baseColWidth="10" defaultRowHeight="16"/>
  <cols>
    <col min="1" max="1" width="37.1640625" customWidth="1"/>
    <col min="2" max="2" width="19.6640625" customWidth="1"/>
    <col min="3" max="3" width="26.1640625" customWidth="1"/>
    <col min="4" max="4" width="19.6640625" customWidth="1"/>
    <col min="5" max="5" width="17.83203125" customWidth="1"/>
    <col min="6" max="6" width="21.6640625" customWidth="1"/>
    <col min="7" max="7" width="20.33203125" customWidth="1"/>
    <col min="8" max="8" width="21.33203125" customWidth="1"/>
    <col min="9" max="9" width="15" customWidth="1"/>
    <col min="10" max="10" width="17.5" customWidth="1"/>
    <col min="11" max="11" width="16" bestFit="1" customWidth="1"/>
  </cols>
  <sheetData>
    <row r="1" spans="1:11">
      <c r="A1" s="501" t="s">
        <v>841</v>
      </c>
    </row>
    <row r="2" spans="1:11" ht="26">
      <c r="A2" s="48" t="s">
        <v>253</v>
      </c>
    </row>
    <row r="3" spans="1:11">
      <c r="A3" s="8" t="s">
        <v>644</v>
      </c>
    </row>
    <row r="4" spans="1:11" ht="134" customHeight="1">
      <c r="A4" s="637" t="s">
        <v>1087</v>
      </c>
      <c r="B4" s="637"/>
      <c r="C4" s="637"/>
      <c r="D4" s="637"/>
      <c r="E4" s="637"/>
      <c r="F4" s="637"/>
    </row>
    <row r="5" spans="1:11" ht="35" customHeight="1" thickBot="1">
      <c r="B5" s="705" t="s">
        <v>11</v>
      </c>
      <c r="C5" s="705"/>
    </row>
    <row r="6" spans="1:11">
      <c r="B6" s="1" t="s">
        <v>256</v>
      </c>
      <c r="C6" s="1" t="s">
        <v>35</v>
      </c>
    </row>
    <row r="7" spans="1:11">
      <c r="A7" s="19" t="s">
        <v>1021</v>
      </c>
      <c r="B7" s="54">
        <f>(C20+D20)*'Clés de répartition'!F255*'Clés de répartition'!F269</f>
        <v>298895528.8048538</v>
      </c>
      <c r="C7" s="54">
        <f>(C20+D20)*'Clés de répartition'!F255*'Clés de répartition'!F269</f>
        <v>298895528.8048538</v>
      </c>
      <c r="J7" s="17"/>
    </row>
    <row r="8" spans="1:11" ht="16" customHeight="1">
      <c r="A8" s="19" t="s">
        <v>320</v>
      </c>
      <c r="B8" s="54">
        <f>B7/('Clés de répartition'!H50*'Clés de répartition'!D134)</f>
        <v>575.85555077116078</v>
      </c>
      <c r="C8" s="54">
        <f>B8+(C7-B7)/(IF('Résultat - projection'!B209=1,'Clés de répartition'!C50,'Clés de répartition'!H50)*'Clés de répartition'!D134)</f>
        <v>575.85555077116078</v>
      </c>
      <c r="E8" s="54"/>
      <c r="I8" s="575"/>
      <c r="J8" s="575"/>
      <c r="K8" s="575"/>
    </row>
    <row r="9" spans="1:11" ht="17" customHeight="1">
      <c r="I9" s="575"/>
      <c r="J9" s="575"/>
      <c r="K9" s="575"/>
    </row>
    <row r="10" spans="1:11">
      <c r="A10" s="107" t="s">
        <v>995</v>
      </c>
      <c r="B10" s="108">
        <v>2023</v>
      </c>
      <c r="E10" t="s">
        <v>1042</v>
      </c>
      <c r="F10" t="s">
        <v>320</v>
      </c>
      <c r="I10" s="575"/>
      <c r="J10" s="575"/>
      <c r="K10" s="575"/>
    </row>
    <row r="11" spans="1:11">
      <c r="A11" s="19" t="s">
        <v>996</v>
      </c>
      <c r="B11" s="53">
        <f>SUM(B63:B66)+SUM(D63:D66)+D68</f>
        <v>495430000</v>
      </c>
      <c r="D11" t="s">
        <v>955</v>
      </c>
      <c r="E11" s="54">
        <f>B11+C22+D22+D34</f>
        <v>907303815.04529595</v>
      </c>
      <c r="F11" s="54">
        <f>E11*'Clés de répartition'!F255*'Clés de répartition'!F269/(IF('Résultat - projection'!B209=1,'Clés de répartition'!C50,'Clés de répartition'!H50)*'Clés de répartition'!D134)</f>
        <v>1010.4157150617327</v>
      </c>
      <c r="G11" t="s">
        <v>1048</v>
      </c>
      <c r="I11" s="19"/>
      <c r="J11" s="112"/>
    </row>
    <row r="12" spans="1:11">
      <c r="A12" s="19" t="s">
        <v>992</v>
      </c>
      <c r="B12" s="53">
        <f>D67</f>
        <v>2933000</v>
      </c>
      <c r="C12" t="s">
        <v>1048</v>
      </c>
      <c r="D12" t="s">
        <v>956</v>
      </c>
      <c r="E12" s="54">
        <f>C21+D21</f>
        <v>642300000</v>
      </c>
      <c r="F12" s="54">
        <f>E12*'Clés de répartition'!F255*'Clés de répartition'!F269/(IF('Résultat - projection'!B209=1,'Clés de répartition'!C50,'Clés de répartition'!H50)*'Clés de répartition'!D134)</f>
        <v>715.29514482615832</v>
      </c>
      <c r="G12" t="s">
        <v>1047</v>
      </c>
      <c r="I12" s="19"/>
      <c r="J12" s="67"/>
    </row>
    <row r="13" spans="1:11">
      <c r="A13" s="19" t="s">
        <v>993</v>
      </c>
      <c r="B13" s="53">
        <f>B43+D43</f>
        <v>1608203000</v>
      </c>
      <c r="C13" s="54"/>
      <c r="I13" s="19"/>
      <c r="J13" s="156"/>
    </row>
    <row r="14" spans="1:11">
      <c r="A14" s="19" t="s">
        <v>994</v>
      </c>
      <c r="B14" s="53">
        <f>-E60</f>
        <v>382049000</v>
      </c>
      <c r="I14" s="19"/>
      <c r="J14" s="112"/>
    </row>
    <row r="15" spans="1:11">
      <c r="A15" s="19" t="s">
        <v>997</v>
      </c>
      <c r="B15" s="54">
        <f>B67+D69</f>
        <v>677000</v>
      </c>
      <c r="C15" s="54"/>
      <c r="I15" s="19"/>
      <c r="J15" s="112"/>
    </row>
    <row r="16" spans="1:11">
      <c r="A16" s="19" t="s">
        <v>958</v>
      </c>
      <c r="B16" s="54">
        <f>B45+B46</f>
        <v>53349000</v>
      </c>
      <c r="C16" s="54"/>
      <c r="I16" s="19"/>
      <c r="J16" s="112"/>
    </row>
    <row r="17" spans="1:10">
      <c r="B17" s="98">
        <f>SUM(B11:B16)</f>
        <v>2542641000</v>
      </c>
      <c r="C17" s="54"/>
      <c r="I17" s="19"/>
      <c r="J17" s="112"/>
    </row>
    <row r="18" spans="1:10">
      <c r="B18" s="581"/>
      <c r="F18" s="54"/>
      <c r="I18" s="19"/>
      <c r="J18" s="234"/>
    </row>
    <row r="19" spans="1:10">
      <c r="A19" s="107" t="s">
        <v>17</v>
      </c>
      <c r="B19" s="110" t="s">
        <v>803</v>
      </c>
      <c r="C19" s="108" t="s">
        <v>1043</v>
      </c>
      <c r="D19" s="110" t="s">
        <v>1046</v>
      </c>
      <c r="I19" s="87"/>
      <c r="J19" s="112"/>
    </row>
    <row r="20" spans="1:10">
      <c r="A20" s="19" t="s">
        <v>254</v>
      </c>
      <c r="B20" s="53">
        <f>B73</f>
        <v>781284000</v>
      </c>
      <c r="C20" s="581">
        <f>D73</f>
        <v>505611291.5182786</v>
      </c>
      <c r="D20" s="54">
        <f>F73*$C$33*$D$33</f>
        <v>11478783.726407178</v>
      </c>
      <c r="F20" s="54"/>
      <c r="G20" s="54"/>
      <c r="I20" s="66"/>
      <c r="J20" s="112"/>
    </row>
    <row r="21" spans="1:10">
      <c r="A21" s="19" t="s">
        <v>1023</v>
      </c>
      <c r="B21" s="53">
        <f>B74</f>
        <v>934216000</v>
      </c>
      <c r="C21" s="581">
        <f>D74</f>
        <v>628574308.16738951</v>
      </c>
      <c r="D21" s="54">
        <f>F74*$C$33*$D$33</f>
        <v>13725691.83261043</v>
      </c>
      <c r="F21" s="54"/>
      <c r="G21" s="54"/>
      <c r="I21" s="66"/>
      <c r="J21" s="112"/>
    </row>
    <row r="22" spans="1:10">
      <c r="A22" s="19" t="s">
        <v>1024</v>
      </c>
      <c r="B22" s="53">
        <f>SUM(B75:B79)</f>
        <v>1005640000</v>
      </c>
      <c r="C22" s="581">
        <f>D75</f>
        <v>395584553.11208671</v>
      </c>
      <c r="D22" s="54">
        <f>F75*$C$33*$D$33</f>
        <v>9435437.7532092016</v>
      </c>
      <c r="F22" s="54"/>
      <c r="G22" s="54"/>
      <c r="I22" s="87"/>
      <c r="J22" s="112"/>
    </row>
    <row r="23" spans="1:10">
      <c r="A23" s="19" t="s">
        <v>968</v>
      </c>
      <c r="B23" s="53">
        <f>SUM(B80:B81)</f>
        <v>199389000</v>
      </c>
      <c r="C23" s="581">
        <f>D76</f>
        <v>78432847.202245176</v>
      </c>
      <c r="D23" s="54">
        <f>F76*$C$33*$D$33</f>
        <v>1870771.3477731897</v>
      </c>
      <c r="F23" s="54"/>
      <c r="G23" s="54"/>
      <c r="I23" s="87"/>
      <c r="J23" s="112"/>
    </row>
    <row r="24" spans="1:10">
      <c r="A24" s="19" t="s">
        <v>255</v>
      </c>
      <c r="B24" s="53">
        <f>B82</f>
        <v>2920529000</v>
      </c>
      <c r="C24" s="98"/>
      <c r="F24" s="54"/>
      <c r="G24" s="54"/>
      <c r="I24" s="66"/>
      <c r="J24" s="112"/>
    </row>
    <row r="25" spans="1:10">
      <c r="A25" s="19" t="s">
        <v>806</v>
      </c>
      <c r="B25" s="53">
        <f>B84</f>
        <v>2485038000</v>
      </c>
      <c r="C25" s="53">
        <f>B13</f>
        <v>1608203000</v>
      </c>
      <c r="D25" s="16">
        <f>C25/B25</f>
        <v>0.64715428898873983</v>
      </c>
      <c r="E25" t="s">
        <v>954</v>
      </c>
      <c r="I25" s="87"/>
      <c r="J25" s="112"/>
    </row>
    <row r="26" spans="1:10">
      <c r="I26" s="87"/>
      <c r="J26" s="53"/>
    </row>
    <row r="27" spans="1:10" ht="17" customHeight="1">
      <c r="A27" s="19" t="s">
        <v>804</v>
      </c>
      <c r="C27">
        <v>288000000</v>
      </c>
      <c r="D27" s="16">
        <f>C27/C29</f>
        <v>0.76820485462790078</v>
      </c>
      <c r="E27" t="s">
        <v>931</v>
      </c>
    </row>
    <row r="28" spans="1:10">
      <c r="A28" s="19" t="s">
        <v>338</v>
      </c>
      <c r="B28" s="53"/>
      <c r="C28" s="160">
        <v>237100000</v>
      </c>
    </row>
    <row r="29" spans="1:10">
      <c r="A29" s="19" t="s">
        <v>339</v>
      </c>
      <c r="C29">
        <v>374900000</v>
      </c>
    </row>
    <row r="30" spans="1:10">
      <c r="A30" s="19" t="s">
        <v>340</v>
      </c>
      <c r="C30">
        <f>C29*(1-0.026)</f>
        <v>365152600</v>
      </c>
    </row>
    <row r="32" spans="1:10">
      <c r="A32" s="107" t="s">
        <v>576</v>
      </c>
      <c r="B32" s="108" t="s">
        <v>805</v>
      </c>
      <c r="C32" s="108" t="s">
        <v>577</v>
      </c>
      <c r="D32" s="563" t="s">
        <v>919</v>
      </c>
    </row>
    <row r="33" spans="1:11">
      <c r="B33" s="16">
        <f>B34/B25</f>
        <v>3.6095222688747618E-2</v>
      </c>
      <c r="C33" s="16">
        <v>0.27</v>
      </c>
      <c r="D33" s="295">
        <v>0.28299999999999997</v>
      </c>
      <c r="K33" s="54"/>
    </row>
    <row r="34" spans="1:11">
      <c r="A34" s="19" t="s">
        <v>996</v>
      </c>
      <c r="B34" s="53">
        <f>B99+D99+D100</f>
        <v>89698000</v>
      </c>
      <c r="C34" s="54">
        <f>B34*$C$33</f>
        <v>24218460</v>
      </c>
      <c r="D34" s="54">
        <f>C34*$D$33</f>
        <v>6853824.1799999997</v>
      </c>
      <c r="K34" s="54"/>
    </row>
    <row r="35" spans="1:11">
      <c r="A35" s="19" t="s">
        <v>993</v>
      </c>
      <c r="B35" s="54">
        <f>E98</f>
        <v>477826000</v>
      </c>
      <c r="C35" s="54">
        <f>B35*$C$33</f>
        <v>129013020.00000001</v>
      </c>
      <c r="D35" s="54">
        <f>C35*$D$33</f>
        <v>36510684.660000004</v>
      </c>
      <c r="F35" s="16"/>
    </row>
    <row r="36" spans="1:11">
      <c r="A36" s="19" t="s">
        <v>994</v>
      </c>
      <c r="B36" s="53">
        <f>-E112</f>
        <v>26467000</v>
      </c>
      <c r="C36" s="54">
        <f>B36*$C$33</f>
        <v>7146090.0000000009</v>
      </c>
      <c r="D36" s="54">
        <f>C36*$D$33</f>
        <v>2022343.47</v>
      </c>
    </row>
    <row r="37" spans="1:11">
      <c r="A37" s="19" t="s">
        <v>958</v>
      </c>
      <c r="B37" s="53">
        <f>B100</f>
        <v>8595000</v>
      </c>
      <c r="C37" s="54">
        <f>B37*$C$33</f>
        <v>2320650</v>
      </c>
      <c r="D37" s="54">
        <f>C37*$D$33</f>
        <v>656743.94999999995</v>
      </c>
    </row>
    <row r="38" spans="1:11" ht="17" customHeight="1">
      <c r="B38" s="53"/>
      <c r="C38" s="54"/>
      <c r="D38" s="54"/>
    </row>
    <row r="40" spans="1:11">
      <c r="A40" s="353" t="s">
        <v>998</v>
      </c>
    </row>
    <row r="42" spans="1:11">
      <c r="A42" s="108" t="s">
        <v>972</v>
      </c>
      <c r="B42" s="108">
        <v>2023</v>
      </c>
      <c r="C42" s="108" t="s">
        <v>969</v>
      </c>
      <c r="D42" s="108">
        <v>2023</v>
      </c>
      <c r="E42" s="108" t="s">
        <v>40</v>
      </c>
    </row>
    <row r="43" spans="1:11">
      <c r="A43" t="s">
        <v>970</v>
      </c>
      <c r="B43" s="53">
        <v>1603892000</v>
      </c>
      <c r="C43" t="s">
        <v>970</v>
      </c>
      <c r="D43" s="53">
        <v>4311000</v>
      </c>
    </row>
    <row r="44" spans="1:11">
      <c r="A44" t="s">
        <v>971</v>
      </c>
      <c r="B44" s="53">
        <f>B62</f>
        <v>87864000</v>
      </c>
      <c r="C44" t="s">
        <v>971</v>
      </c>
      <c r="D44" s="53">
        <f>D62</f>
        <v>411176000</v>
      </c>
    </row>
    <row r="45" spans="1:11">
      <c r="A45" t="s">
        <v>973</v>
      </c>
      <c r="B45" s="53">
        <v>6457000</v>
      </c>
    </row>
    <row r="46" spans="1:11">
      <c r="A46" t="s">
        <v>958</v>
      </c>
      <c r="B46" s="53">
        <v>46892000</v>
      </c>
    </row>
    <row r="47" spans="1:11">
      <c r="A47" t="s">
        <v>974</v>
      </c>
      <c r="B47" s="53">
        <f>SUM(B43:B46)</f>
        <v>1745105000</v>
      </c>
      <c r="C47" t="s">
        <v>974</v>
      </c>
      <c r="D47" s="54">
        <f>SUM(D43:D46)</f>
        <v>415487000</v>
      </c>
      <c r="E47" s="54">
        <f>B47+D47</f>
        <v>2160592000</v>
      </c>
      <c r="F47" s="54">
        <f>E47-E60</f>
        <v>2542641000</v>
      </c>
    </row>
    <row r="48" spans="1:11">
      <c r="A48" s="108" t="s">
        <v>959</v>
      </c>
      <c r="C48" s="3" t="s">
        <v>981</v>
      </c>
      <c r="D48" s="53"/>
    </row>
    <row r="49" spans="1:7">
      <c r="A49" t="s">
        <v>960</v>
      </c>
      <c r="B49" s="53">
        <v>805391000</v>
      </c>
      <c r="C49" t="s">
        <v>975</v>
      </c>
      <c r="D49" s="53">
        <v>864022000</v>
      </c>
    </row>
    <row r="50" spans="1:7">
      <c r="A50" t="s">
        <v>961</v>
      </c>
      <c r="B50" s="53">
        <v>278387000</v>
      </c>
      <c r="C50" t="s">
        <v>976</v>
      </c>
      <c r="D50" s="53">
        <v>-219000</v>
      </c>
    </row>
    <row r="51" spans="1:7">
      <c r="A51" t="s">
        <v>962</v>
      </c>
      <c r="B51" s="53">
        <v>405306000</v>
      </c>
      <c r="C51" t="s">
        <v>977</v>
      </c>
      <c r="D51" s="53">
        <v>-408801000</v>
      </c>
    </row>
    <row r="52" spans="1:7">
      <c r="A52" t="s">
        <v>963</v>
      </c>
      <c r="B52" s="53">
        <v>30514000</v>
      </c>
      <c r="C52" t="s">
        <v>978</v>
      </c>
      <c r="D52" s="53">
        <v>-161000</v>
      </c>
    </row>
    <row r="53" spans="1:7">
      <c r="A53" t="s">
        <v>964</v>
      </c>
      <c r="B53" s="53">
        <v>61414000</v>
      </c>
      <c r="C53" t="s">
        <v>979</v>
      </c>
      <c r="D53" s="53">
        <v>5534000</v>
      </c>
    </row>
    <row r="54" spans="1:7">
      <c r="A54" t="s">
        <v>965</v>
      </c>
      <c r="B54" s="581">
        <v>84246000</v>
      </c>
      <c r="C54" t="s">
        <v>980</v>
      </c>
      <c r="D54" s="53">
        <v>5061000</v>
      </c>
    </row>
    <row r="55" spans="1:7">
      <c r="A55" t="s">
        <v>966</v>
      </c>
      <c r="B55" s="53">
        <v>408801000</v>
      </c>
      <c r="C55" t="s">
        <v>982</v>
      </c>
      <c r="D55" s="53">
        <v>477000</v>
      </c>
    </row>
    <row r="56" spans="1:7">
      <c r="A56" t="s">
        <v>967</v>
      </c>
      <c r="B56" s="53">
        <v>3181000</v>
      </c>
    </row>
    <row r="57" spans="1:7">
      <c r="A57" t="s">
        <v>968</v>
      </c>
      <c r="B57" s="53">
        <v>-512000</v>
      </c>
    </row>
    <row r="58" spans="1:7">
      <c r="A58" t="s">
        <v>974</v>
      </c>
      <c r="B58" s="53">
        <f>SUM(B49:B57)</f>
        <v>2076728000</v>
      </c>
      <c r="C58" t="s">
        <v>974</v>
      </c>
      <c r="D58" s="54">
        <f>SUM(D48:D57)</f>
        <v>465913000</v>
      </c>
      <c r="E58" s="54">
        <f>B58+D58</f>
        <v>2542641000</v>
      </c>
      <c r="F58" s="54"/>
    </row>
    <row r="60" spans="1:7">
      <c r="A60" t="s">
        <v>40</v>
      </c>
      <c r="B60" s="54">
        <f>B47-B58</f>
        <v>-331623000</v>
      </c>
      <c r="C60" t="s">
        <v>40</v>
      </c>
      <c r="D60" s="54">
        <f>D47-D58</f>
        <v>-50426000</v>
      </c>
      <c r="E60" s="54">
        <f>E47-E58</f>
        <v>-382049000</v>
      </c>
      <c r="F60" t="s">
        <v>983</v>
      </c>
    </row>
    <row r="61" spans="1:7">
      <c r="B61" s="53"/>
      <c r="D61" s="53"/>
    </row>
    <row r="62" spans="1:7">
      <c r="A62" s="3" t="s">
        <v>984</v>
      </c>
      <c r="B62" s="54">
        <f>SUM(B63:B67)</f>
        <v>87864000</v>
      </c>
      <c r="C62" s="3" t="s">
        <v>985</v>
      </c>
      <c r="D62" s="54">
        <f>SUM(D63:D69)</f>
        <v>411176000</v>
      </c>
      <c r="G62" s="54"/>
    </row>
    <row r="63" spans="1:7">
      <c r="A63" t="s">
        <v>987</v>
      </c>
      <c r="B63" s="53">
        <v>73400000</v>
      </c>
      <c r="C63" t="s">
        <v>987</v>
      </c>
      <c r="D63" s="53">
        <v>353215000</v>
      </c>
      <c r="G63" s="54"/>
    </row>
    <row r="64" spans="1:7">
      <c r="A64" t="s">
        <v>988</v>
      </c>
      <c r="B64" s="53">
        <v>4292000</v>
      </c>
      <c r="C64" t="s">
        <v>988</v>
      </c>
      <c r="D64" s="53">
        <v>52786000</v>
      </c>
      <c r="G64" s="54"/>
    </row>
    <row r="65" spans="1:7">
      <c r="A65" t="s">
        <v>989</v>
      </c>
      <c r="B65" s="53">
        <v>4514000</v>
      </c>
      <c r="C65" t="s">
        <v>989</v>
      </c>
      <c r="D65" s="53">
        <v>2559000</v>
      </c>
      <c r="G65" s="54"/>
    </row>
    <row r="66" spans="1:7">
      <c r="A66" t="s">
        <v>990</v>
      </c>
      <c r="B66" s="53">
        <v>5203000</v>
      </c>
      <c r="C66" t="s">
        <v>990</v>
      </c>
      <c r="D66" s="53">
        <v>-675000</v>
      </c>
      <c r="G66" s="54"/>
    </row>
    <row r="67" spans="1:7">
      <c r="A67" t="s">
        <v>968</v>
      </c>
      <c r="B67" s="53">
        <v>455000</v>
      </c>
      <c r="C67" t="s">
        <v>986</v>
      </c>
      <c r="D67" s="53">
        <v>2933000</v>
      </c>
      <c r="G67" s="54"/>
    </row>
    <row r="68" spans="1:7">
      <c r="C68" t="s">
        <v>991</v>
      </c>
      <c r="D68" s="53">
        <v>136000</v>
      </c>
      <c r="G68" s="54"/>
    </row>
    <row r="69" spans="1:7">
      <c r="C69" t="s">
        <v>968</v>
      </c>
      <c r="D69" s="53">
        <v>222000</v>
      </c>
    </row>
    <row r="71" spans="1:7">
      <c r="A71" s="353" t="s">
        <v>999</v>
      </c>
    </row>
    <row r="72" spans="1:7">
      <c r="A72" s="3" t="s">
        <v>1000</v>
      </c>
      <c r="B72" t="s">
        <v>1001</v>
      </c>
      <c r="D72" t="s">
        <v>1020</v>
      </c>
      <c r="F72" t="s">
        <v>1044</v>
      </c>
    </row>
    <row r="73" spans="1:7">
      <c r="A73" t="s">
        <v>254</v>
      </c>
      <c r="B73" s="53">
        <v>781284000</v>
      </c>
      <c r="C73" t="s">
        <v>254</v>
      </c>
      <c r="D73" s="53">
        <f>B73*E73</f>
        <v>505611291.5182786</v>
      </c>
      <c r="E73" s="159">
        <f>D84/B84</f>
        <v>0.64715428898873983</v>
      </c>
      <c r="F73" s="54">
        <f>B73*G73</f>
        <v>150226197.17847374</v>
      </c>
      <c r="G73" s="16">
        <f>F84/B84</f>
        <v>0.19228116431217551</v>
      </c>
    </row>
    <row r="74" spans="1:7">
      <c r="A74" t="s">
        <v>1002</v>
      </c>
      <c r="B74" s="53">
        <v>934216000</v>
      </c>
      <c r="C74" t="s">
        <v>1019</v>
      </c>
      <c r="D74" s="53">
        <f>642300000-D21</f>
        <v>628574308.16738951</v>
      </c>
      <c r="E74" s="159"/>
      <c r="F74" s="54">
        <f>G73*B74</f>
        <v>179632140.19906336</v>
      </c>
    </row>
    <row r="75" spans="1:7">
      <c r="A75" t="s">
        <v>1003</v>
      </c>
      <c r="B75" s="53">
        <v>307029000</v>
      </c>
      <c r="C75" t="s">
        <v>908</v>
      </c>
      <c r="D75" s="54">
        <f>E75*(D84-D73-D74)</f>
        <v>395584553.11208671</v>
      </c>
      <c r="E75" s="159">
        <f>SUM(B75:B79)/(B82-B73-B74)</f>
        <v>0.83453593233025924</v>
      </c>
      <c r="F75" s="54">
        <f>E75*(F84-F73-F74)</f>
        <v>123484331.28136635</v>
      </c>
    </row>
    <row r="76" spans="1:7">
      <c r="A76" t="s">
        <v>1004</v>
      </c>
      <c r="B76" s="53">
        <v>78672000</v>
      </c>
      <c r="C76" s="54" t="s">
        <v>968</v>
      </c>
      <c r="D76" s="54">
        <f>D84-D73-D74-D75</f>
        <v>78432847.202245176</v>
      </c>
      <c r="E76" s="16"/>
      <c r="F76" s="54">
        <f>F84-F73-F74-F75</f>
        <v>24483331.34109658</v>
      </c>
    </row>
    <row r="77" spans="1:7">
      <c r="A77" t="s">
        <v>1005</v>
      </c>
      <c r="B77" s="53">
        <v>168736000</v>
      </c>
      <c r="C77" s="54"/>
    </row>
    <row r="78" spans="1:7">
      <c r="A78" t="s">
        <v>1006</v>
      </c>
      <c r="B78" s="53">
        <v>423700000</v>
      </c>
      <c r="C78" s="54"/>
    </row>
    <row r="79" spans="1:7">
      <c r="A79" t="s">
        <v>1007</v>
      </c>
      <c r="B79" s="53">
        <v>27503000</v>
      </c>
      <c r="C79" s="54"/>
    </row>
    <row r="80" spans="1:7">
      <c r="A80" t="s">
        <v>1008</v>
      </c>
      <c r="B80" s="53">
        <v>149610000</v>
      </c>
    </row>
    <row r="81" spans="1:6">
      <c r="A81" t="s">
        <v>958</v>
      </c>
      <c r="B81" s="53">
        <v>49779000</v>
      </c>
    </row>
    <row r="82" spans="1:6">
      <c r="A82" t="s">
        <v>974</v>
      </c>
      <c r="B82" s="53">
        <f>SUM(B73:B81)</f>
        <v>2920529000</v>
      </c>
      <c r="C82" s="54"/>
      <c r="D82" s="54">
        <f>SUM(D73:D81)</f>
        <v>1608203000</v>
      </c>
    </row>
    <row r="83" spans="1:6">
      <c r="A83" s="3" t="s">
        <v>1009</v>
      </c>
    </row>
    <row r="84" spans="1:6">
      <c r="A84" t="s">
        <v>1010</v>
      </c>
      <c r="B84" s="53">
        <v>2485038000</v>
      </c>
      <c r="D84" s="54">
        <f>B13</f>
        <v>1608203000</v>
      </c>
      <c r="F84" s="54">
        <f>B98+D98</f>
        <v>477826000</v>
      </c>
    </row>
    <row r="85" spans="1:6">
      <c r="A85" t="s">
        <v>1011</v>
      </c>
      <c r="B85" s="53">
        <v>33407000</v>
      </c>
    </row>
    <row r="86" spans="1:6">
      <c r="A86" t="s">
        <v>1012</v>
      </c>
      <c r="B86" s="53">
        <v>4090000</v>
      </c>
    </row>
    <row r="87" spans="1:6">
      <c r="A87" t="s">
        <v>1013</v>
      </c>
      <c r="B87" s="53">
        <v>4037000</v>
      </c>
    </row>
    <row r="88" spans="1:6">
      <c r="A88" t="s">
        <v>1014</v>
      </c>
      <c r="B88" s="53">
        <v>91053000</v>
      </c>
    </row>
    <row r="89" spans="1:6">
      <c r="A89" t="s">
        <v>1015</v>
      </c>
      <c r="B89" s="53">
        <v>31261000</v>
      </c>
    </row>
    <row r="90" spans="1:6">
      <c r="A90" t="s">
        <v>1016</v>
      </c>
      <c r="B90" s="53">
        <v>88375000</v>
      </c>
    </row>
    <row r="91" spans="1:6">
      <c r="A91" t="s">
        <v>1018</v>
      </c>
      <c r="B91" s="53">
        <v>46297000</v>
      </c>
    </row>
    <row r="92" spans="1:6">
      <c r="A92" t="s">
        <v>1045</v>
      </c>
      <c r="B92" s="53">
        <v>136971000</v>
      </c>
    </row>
    <row r="93" spans="1:6">
      <c r="A93" t="s">
        <v>1017</v>
      </c>
      <c r="B93" s="54">
        <f>SUM(B84:B92)</f>
        <v>2920529000</v>
      </c>
      <c r="C93" s="54"/>
    </row>
    <row r="94" spans="1:6">
      <c r="B94" s="54"/>
    </row>
    <row r="96" spans="1:6">
      <c r="A96" s="353" t="s">
        <v>1022</v>
      </c>
    </row>
    <row r="97" spans="1:6">
      <c r="A97" s="108" t="s">
        <v>972</v>
      </c>
      <c r="B97" s="108">
        <v>2023</v>
      </c>
      <c r="C97" s="108" t="s">
        <v>1026</v>
      </c>
      <c r="D97" s="108">
        <v>2023</v>
      </c>
      <c r="E97" s="108" t="s">
        <v>40</v>
      </c>
    </row>
    <row r="98" spans="1:6">
      <c r="A98" t="s">
        <v>970</v>
      </c>
      <c r="B98" s="53">
        <v>437188000</v>
      </c>
      <c r="C98" t="s">
        <v>970</v>
      </c>
      <c r="D98" s="53">
        <v>40638000</v>
      </c>
      <c r="E98" s="54">
        <f>B98+D98</f>
        <v>477826000</v>
      </c>
    </row>
    <row r="99" spans="1:6">
      <c r="A99" t="s">
        <v>971</v>
      </c>
      <c r="B99" s="53">
        <v>158000</v>
      </c>
      <c r="C99" t="s">
        <v>1027</v>
      </c>
      <c r="D99" s="53">
        <v>61862000</v>
      </c>
    </row>
    <row r="100" spans="1:6">
      <c r="A100" t="s">
        <v>968</v>
      </c>
      <c r="B100" s="53">
        <v>8595000</v>
      </c>
      <c r="C100" t="s">
        <v>1028</v>
      </c>
      <c r="D100" s="53">
        <v>27678000</v>
      </c>
    </row>
    <row r="101" spans="1:6">
      <c r="A101" t="s">
        <v>974</v>
      </c>
      <c r="B101" s="53">
        <f>SUM(B98:B100)</f>
        <v>445941000</v>
      </c>
      <c r="C101" t="s">
        <v>974</v>
      </c>
      <c r="D101" s="53">
        <f>SUM(D98:D100)</f>
        <v>130178000</v>
      </c>
      <c r="E101" s="54">
        <f>B101+D101</f>
        <v>576119000</v>
      </c>
    </row>
    <row r="102" spans="1:6">
      <c r="A102" s="108" t="s">
        <v>959</v>
      </c>
      <c r="B102" s="53"/>
      <c r="D102" s="53"/>
    </row>
    <row r="103" spans="1:6">
      <c r="A103" t="s">
        <v>1029</v>
      </c>
      <c r="B103" s="53">
        <v>262426000</v>
      </c>
      <c r="C103" t="s">
        <v>977</v>
      </c>
      <c r="D103" s="53">
        <v>93092000</v>
      </c>
    </row>
    <row r="104" spans="1:6">
      <c r="A104" t="s">
        <v>1030</v>
      </c>
      <c r="B104" s="53">
        <v>43145000</v>
      </c>
      <c r="C104" t="s">
        <v>1036</v>
      </c>
      <c r="D104" s="53">
        <v>46098000</v>
      </c>
    </row>
    <row r="105" spans="1:6">
      <c r="A105" t="s">
        <v>1031</v>
      </c>
      <c r="B105" s="53">
        <v>64754000</v>
      </c>
      <c r="C105" t="s">
        <v>1037</v>
      </c>
      <c r="D105" s="53">
        <v>7002000</v>
      </c>
    </row>
    <row r="106" spans="1:6">
      <c r="A106" t="s">
        <v>1032</v>
      </c>
      <c r="B106" s="53">
        <v>22255000</v>
      </c>
      <c r="C106" t="s">
        <v>1038</v>
      </c>
      <c r="D106" s="53">
        <v>17000</v>
      </c>
    </row>
    <row r="107" spans="1:6">
      <c r="A107" t="s">
        <v>1033</v>
      </c>
      <c r="B107" s="53">
        <v>19413000</v>
      </c>
      <c r="C107" t="s">
        <v>968</v>
      </c>
      <c r="D107" s="53">
        <v>344000</v>
      </c>
    </row>
    <row r="108" spans="1:6">
      <c r="A108" t="s">
        <v>1034</v>
      </c>
      <c r="B108" s="53">
        <v>31061000</v>
      </c>
      <c r="C108" t="s">
        <v>1039</v>
      </c>
      <c r="D108" s="53">
        <f>6006000-1985000</f>
        <v>4021000</v>
      </c>
    </row>
    <row r="109" spans="1:6">
      <c r="A109" t="s">
        <v>1035</v>
      </c>
      <c r="B109" s="53">
        <v>7078000</v>
      </c>
      <c r="C109" t="s">
        <v>1041</v>
      </c>
      <c r="D109" s="53">
        <v>1880000</v>
      </c>
    </row>
    <row r="110" spans="1:6">
      <c r="A110" t="s">
        <v>974</v>
      </c>
      <c r="B110" s="53">
        <f>SUM(B103:B109)</f>
        <v>450132000</v>
      </c>
      <c r="C110" t="s">
        <v>974</v>
      </c>
      <c r="D110" s="53">
        <f>SUM(D103:D109)</f>
        <v>152454000</v>
      </c>
      <c r="E110" s="54">
        <f>B110+D110</f>
        <v>602586000</v>
      </c>
    </row>
    <row r="111" spans="1:6">
      <c r="B111" s="53"/>
      <c r="D111" s="53"/>
    </row>
    <row r="112" spans="1:6">
      <c r="A112" t="s">
        <v>40</v>
      </c>
      <c r="B112" s="53">
        <f>B101-B110</f>
        <v>-4191000</v>
      </c>
      <c r="D112" s="53">
        <f>D101-D110</f>
        <v>-22276000</v>
      </c>
      <c r="E112" s="54">
        <f>B112+D112</f>
        <v>-26467000</v>
      </c>
      <c r="F112" t="s">
        <v>1040</v>
      </c>
    </row>
    <row r="113" spans="1:5">
      <c r="B113" s="53"/>
      <c r="E113" s="54"/>
    </row>
    <row r="114" spans="1:5">
      <c r="B114" s="53"/>
    </row>
    <row r="117" spans="1:5">
      <c r="A117" s="23" t="s">
        <v>883</v>
      </c>
    </row>
    <row r="118" spans="1:5">
      <c r="A118" s="62" t="s">
        <v>68</v>
      </c>
    </row>
    <row r="119" spans="1:5">
      <c r="A119" s="62" t="s">
        <v>68</v>
      </c>
    </row>
    <row r="120" spans="1:5">
      <c r="A120" s="23" t="s">
        <v>807</v>
      </c>
    </row>
    <row r="121" spans="1:5">
      <c r="A121" s="62" t="s">
        <v>68</v>
      </c>
    </row>
    <row r="123" spans="1:5">
      <c r="A123" s="23" t="s">
        <v>957</v>
      </c>
    </row>
    <row r="124" spans="1:5">
      <c r="A124" s="62" t="s">
        <v>68</v>
      </c>
    </row>
    <row r="125" spans="1:5">
      <c r="A125" s="62" t="s">
        <v>68</v>
      </c>
    </row>
  </sheetData>
  <mergeCells count="2">
    <mergeCell ref="B5:C5"/>
    <mergeCell ref="A4:F4"/>
  </mergeCells>
  <hyperlinks>
    <hyperlink ref="A118" r:id="rId1" xr:uid="{E314C651-89E8-5C4F-8070-74B9B3739E76}"/>
    <hyperlink ref="A121" r:id="rId2" xr:uid="{CA9837D9-C678-2742-880C-BE93415E6F9B}"/>
    <hyperlink ref="A124" r:id="rId3" xr:uid="{82BCB3EA-5444-584D-BC13-CA75B3ECF3E2}"/>
    <hyperlink ref="A125" r:id="rId4" xr:uid="{92CAF6C8-8BF7-5B48-AEC2-968C301C79EB}"/>
    <hyperlink ref="A119" r:id="rId5" xr:uid="{DC07C668-13D7-6344-8A18-BCB0C00CC23D}"/>
    <hyperlink ref="A1" location="'Table des matières'!A1" display="Retour à la Table des matières" xr:uid="{EE77CC3B-AC15-754A-B5A0-70C5B6E73702}"/>
  </hyperlinks>
  <pageMargins left="0.7" right="0.7" top="0.75" bottom="0.75" header="0.3" footer="0.3"/>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933B7A-3F53-4D45-932A-689721B4F143}">
  <sheetPr codeName="Sheet10"/>
  <dimension ref="A1:AD970"/>
  <sheetViews>
    <sheetView zoomScaleNormal="100" workbookViewId="0">
      <selection activeCell="A9" sqref="A9"/>
    </sheetView>
  </sheetViews>
  <sheetFormatPr baseColWidth="10" defaultColWidth="11.1640625" defaultRowHeight="16"/>
  <cols>
    <col min="1" max="1" width="46.5" customWidth="1"/>
    <col min="2" max="2" width="7" customWidth="1"/>
    <col min="3" max="3" width="43.33203125" customWidth="1"/>
    <col min="4" max="4" width="7" customWidth="1"/>
    <col min="5" max="5" width="19" customWidth="1"/>
    <col min="6" max="8" width="15.6640625" customWidth="1"/>
    <col min="9" max="9" width="16" customWidth="1"/>
    <col min="10" max="10" width="17" customWidth="1"/>
    <col min="11" max="11" width="13.6640625" style="14" customWidth="1"/>
    <col min="12" max="12" width="10.5" customWidth="1"/>
    <col min="13" max="13" width="12.5" customWidth="1"/>
    <col min="14" max="14" width="10.5" customWidth="1"/>
    <col min="15" max="15" width="16" customWidth="1"/>
    <col min="16" max="16" width="13.5" customWidth="1"/>
    <col min="17" max="18" width="10.5" customWidth="1"/>
    <col min="19" max="19" width="20.1640625" customWidth="1"/>
    <col min="20" max="20" width="17" customWidth="1"/>
    <col min="21" max="21" width="20.33203125" customWidth="1"/>
    <col min="22" max="22" width="39" customWidth="1"/>
    <col min="23" max="23" width="21" customWidth="1"/>
    <col min="24" max="24" width="18" customWidth="1"/>
    <col min="25" max="25" width="17.83203125" customWidth="1"/>
    <col min="26" max="26" width="17.5" customWidth="1"/>
    <col min="27" max="27" width="18.83203125" customWidth="1"/>
    <col min="28" max="30" width="10.5" customWidth="1"/>
  </cols>
  <sheetData>
    <row r="1" spans="1:30">
      <c r="A1" s="501" t="s">
        <v>841</v>
      </c>
    </row>
    <row r="2" spans="1:30" ht="26">
      <c r="A2" s="48" t="s">
        <v>15</v>
      </c>
    </row>
    <row r="4" spans="1:30" ht="102" customHeight="1">
      <c r="A4" s="709" t="s">
        <v>1088</v>
      </c>
      <c r="B4" s="709"/>
      <c r="C4" s="709"/>
      <c r="K4"/>
    </row>
    <row r="5" spans="1:30" ht="35" thickBot="1">
      <c r="A5" s="25"/>
      <c r="B5" s="24"/>
      <c r="C5" s="24"/>
      <c r="F5" s="55" t="s">
        <v>10</v>
      </c>
      <c r="G5" s="56" t="s">
        <v>11</v>
      </c>
      <c r="H5" s="57" t="s">
        <v>12</v>
      </c>
      <c r="I5" s="58" t="s">
        <v>13</v>
      </c>
      <c r="J5" s="55" t="s">
        <v>10</v>
      </c>
      <c r="K5" s="56" t="s">
        <v>11</v>
      </c>
      <c r="L5" s="57" t="s">
        <v>12</v>
      </c>
      <c r="M5" s="58" t="s">
        <v>13</v>
      </c>
    </row>
    <row r="6" spans="1:30">
      <c r="E6" s="87" t="s">
        <v>40</v>
      </c>
      <c r="F6" s="53">
        <f>F7+F8+F9</f>
        <v>717951142.47200418</v>
      </c>
      <c r="G6" s="53">
        <f>G7+G8+G9</f>
        <v>410215384.86781788</v>
      </c>
      <c r="H6" s="53">
        <f t="shared" ref="H6:I6" si="0">H7+H8+H9</f>
        <v>31336239.946306933</v>
      </c>
      <c r="I6" s="53">
        <f t="shared" si="0"/>
        <v>23847587.113964815</v>
      </c>
      <c r="J6" s="120">
        <f>F6/('Clés de répartition'!B50*'Clés de répartition'!$D134)</f>
        <v>1165.3226018449595</v>
      </c>
      <c r="K6" s="120">
        <f>G6/('Clés de répartition'!C50*'Clés de répartition'!$D134)</f>
        <v>790.32566105092189</v>
      </c>
      <c r="L6" s="120">
        <f>H6/('Clés de répartition'!D50*'Clés de répartition'!$D134)</f>
        <v>674.06891234607463</v>
      </c>
      <c r="M6" s="120">
        <f>I6/('Clés de répartition'!E50*'Clés de répartition'!$D134)</f>
        <v>146.18972135680065</v>
      </c>
      <c r="N6" t="s">
        <v>686</v>
      </c>
    </row>
    <row r="7" spans="1:30">
      <c r="E7" s="87" t="s">
        <v>404</v>
      </c>
      <c r="F7" s="53">
        <f>(I66*1000)*(1+$F$38)*(1-'Clés de répartition'!$B$299)</f>
        <v>34018243.361655056</v>
      </c>
      <c r="G7" s="53">
        <f>(J66*1000)*(1+$F$38)*'Clés de répartition'!$F$255*'Clés de répartition'!$F$269</f>
        <v>4491631.289307015</v>
      </c>
      <c r="H7" s="53">
        <f>(K66*1000)*(1+$F$38)*'Clés de répartition'!$B$189</f>
        <v>16809260.98775642</v>
      </c>
      <c r="I7" s="53">
        <f t="shared" ref="I7" si="1">(L66*1000)*(1+$F$38)</f>
        <v>994006.88837293943</v>
      </c>
      <c r="J7" s="120">
        <f>F7/('Clés de répartition'!B50*'Clés de répartition'!$D134)</f>
        <v>55.215773775225522</v>
      </c>
      <c r="K7" s="120">
        <f>G7/('Clés de répartition'!C50*'Clés de répartition'!$D134)</f>
        <v>8.6536283105579432</v>
      </c>
      <c r="L7" s="120">
        <f>H7/('Clés de répartition'!D50*'Clés de répartition'!$D134)</f>
        <v>361.58136045590305</v>
      </c>
      <c r="M7" s="120">
        <f>I7/('Clés de répartition'!E50*'Clés de répartition'!$D134)</f>
        <v>6.0934294670376454</v>
      </c>
      <c r="N7" t="s">
        <v>687</v>
      </c>
      <c r="Q7" s="116"/>
      <c r="R7" s="116"/>
      <c r="S7" s="116"/>
    </row>
    <row r="8" spans="1:30">
      <c r="E8" s="19" t="s">
        <v>405</v>
      </c>
      <c r="F8" s="53">
        <f>(I114*1000+G34*1000000)*(1+$F$38)*(1-'Clés de répartition'!$B$299)</f>
        <v>658179278.389323</v>
      </c>
      <c r="G8" s="53">
        <f>(J114*1000+H34*1000000+'Indirect - Villes'!F21)*(1+$F$38)*'Clés de répartition'!$F$255*'Clés de répartition'!$F$269</f>
        <v>362573408.04617989</v>
      </c>
      <c r="H8" s="53">
        <f>(K114*1000+I34*1000000)*(1+$F$38)*'Clés de répartition'!$B$189</f>
        <v>14155891.518002603</v>
      </c>
      <c r="I8" s="53">
        <f t="shared" ref="I8" si="2">(L114*1000+J34*1000000)*(1+$F$38)</f>
        <v>21913022.530699458</v>
      </c>
      <c r="J8" s="121">
        <f>F8/('Clés de répartition'!B58*'Clés de répartition'!$D142)</f>
        <v>1251.6804949517684</v>
      </c>
      <c r="K8" s="121">
        <f>G8/('Clés de répartition'!C58*'Clés de répartition'!$D142)</f>
        <v>758.27327497150043</v>
      </c>
      <c r="L8" s="121">
        <f>H8/('Clés de répartition'!D58*'Clés de répartition'!$D142)</f>
        <v>316.14229695014433</v>
      </c>
      <c r="M8" s="121">
        <f>I8/('Clés de répartition'!E58*'Clés de répartition'!$D142)</f>
        <v>140.57878159690313</v>
      </c>
      <c r="N8" t="s">
        <v>687</v>
      </c>
      <c r="Q8" s="116"/>
      <c r="R8" s="116"/>
      <c r="S8" s="116"/>
      <c r="V8" s="116"/>
      <c r="W8" s="112"/>
    </row>
    <row r="9" spans="1:30">
      <c r="E9" s="19" t="s">
        <v>422</v>
      </c>
      <c r="F9" s="53">
        <f>SUM(F10:F28)</f>
        <v>25753620.721026212</v>
      </c>
      <c r="G9" s="53">
        <f>SUM(G10:G28)</f>
        <v>43150345.53233096</v>
      </c>
      <c r="H9" s="53">
        <f t="shared" ref="H9:I9" si="3">SUM(H10:H28)</f>
        <v>371087.44054790935</v>
      </c>
      <c r="I9" s="53">
        <f t="shared" si="3"/>
        <v>940557.69489241787</v>
      </c>
      <c r="J9" s="121">
        <f>F9/('Clés de répartition'!B58*'Clés de répartition'!$D142)</f>
        <v>48.97648070869004</v>
      </c>
      <c r="K9" s="121">
        <f>G9/('Clés de répartition'!C58*'Clés de répartition'!$D142)</f>
        <v>90.243115178444171</v>
      </c>
      <c r="L9" s="121">
        <f>H9/('Clés de répartition'!D58*'Clés de répartition'!$D142)</f>
        <v>8.2874636101138712</v>
      </c>
      <c r="M9" s="121">
        <f>I9/('Clés de répartition'!E58*'Clés de répartition'!$D142)</f>
        <v>6.033966997675849</v>
      </c>
      <c r="N9" t="s">
        <v>688</v>
      </c>
      <c r="Q9" s="116"/>
      <c r="R9" s="116"/>
      <c r="S9" s="116"/>
      <c r="T9" s="53"/>
      <c r="V9" s="116"/>
      <c r="W9" s="112"/>
      <c r="X9" s="68"/>
      <c r="Y9" s="68"/>
      <c r="Z9" s="68"/>
      <c r="AA9" s="68"/>
    </row>
    <row r="10" spans="1:30">
      <c r="E10" s="597" t="s">
        <v>154</v>
      </c>
      <c r="F10" s="53">
        <f>SUM(_xlfn.XLOOKUP($E10,$A$115:$A$143,I$115:I$143,1))*1000*(1+$F$38)*(1-'Clés de répartition'!$B$299)</f>
        <v>2549546.400785327</v>
      </c>
      <c r="G10" s="53">
        <f>(SUM(_xlfn.XLOOKUP($E10,$A$115:$A$143,J$115:J$143,1))+E154+F154+G154)*1000*(1+$F$38)*'Clés de répartition'!$F$255*'Clés de répartition'!$F$269</f>
        <v>2163177.9551034761</v>
      </c>
      <c r="H10" s="53">
        <f>SUM(_xlfn.XLOOKUP($E10,$A$115:$A$143,K$115:K$143,1))*1000*(1+$F$38)*'Clés de répartition'!$B$189</f>
        <v>29190.671225841084</v>
      </c>
      <c r="I10" s="53">
        <f t="shared" ref="I10:I28" si="4">SUM(_xlfn.XLOOKUP($E10,$A$115:$A$143,L$115:L$143,1))*1000*(1+$F$38)</f>
        <v>77339.097807818922</v>
      </c>
      <c r="J10" s="54">
        <f>F10/('Clés de répartition'!B67*'Clés de répartition'!$D151)</f>
        <v>64.07375170167083</v>
      </c>
      <c r="K10" s="54">
        <f>G10/('Clés de répartition'!C67*'Clés de répartition'!$D151)</f>
        <v>63.319420916367974</v>
      </c>
      <c r="L10" s="54">
        <f>H10/('Clés de répartition'!D67*'Clés de répartition'!$D151)</f>
        <v>9.7420024248096428</v>
      </c>
      <c r="M10" s="54">
        <f>I10/('Clés de répartition'!E67*'Clés de répartition'!$D151)</f>
        <v>8.8654207557791409</v>
      </c>
      <c r="N10" t="s">
        <v>689</v>
      </c>
      <c r="Q10" s="116"/>
      <c r="R10" s="116"/>
      <c r="S10" s="116"/>
      <c r="T10" s="53"/>
      <c r="V10" s="116"/>
      <c r="W10" s="112"/>
      <c r="X10" s="68"/>
      <c r="Y10" s="68"/>
      <c r="Z10" s="68"/>
      <c r="AA10" s="68"/>
    </row>
    <row r="11" spans="1:30">
      <c r="E11" s="597" t="s">
        <v>155</v>
      </c>
      <c r="F11" s="53">
        <f>SUM(_xlfn.XLOOKUP($E11,$A$115:$A$143,I$115:I$143,1))*1000*(1+$F$38)*(1-'Clés de répartition'!$B$299)</f>
        <v>1077573.3055978003</v>
      </c>
      <c r="G11" s="53">
        <f>(SUM(_xlfn.XLOOKUP($E11,$A$115:$A$143,J$115:J$143,1))+E155+F155+G155)*1000*(1+$F$38)*'Clés de répartition'!$F$255*'Clés de répartition'!$F$269</f>
        <v>1046877.9706613495</v>
      </c>
      <c r="H11" s="53">
        <f>SUM(_xlfn.XLOOKUP($E11,$A$115:$A$143,K$115:K$143,1))*1000*(1+$F$38)*'Clés de répartition'!$B$189</f>
        <v>11999.700440926375</v>
      </c>
      <c r="I11" s="53">
        <f t="shared" si="4"/>
        <v>28809.543377472153</v>
      </c>
      <c r="J11" s="54">
        <f>F11/('Clés de répartition'!B68*'Clés de répartition'!$D152)</f>
        <v>78.691886805796969</v>
      </c>
      <c r="K11" s="54">
        <f>G11/('Clés de répartition'!C68*'Clés de répartition'!$D152)</f>
        <v>128.14126208878562</v>
      </c>
      <c r="L11" s="54">
        <f>H11/('Clés de répartition'!D68*'Clés de répartition'!$D152)</f>
        <v>31.734061471531913</v>
      </c>
      <c r="M11" s="54">
        <f>I11/('Clés de répartition'!E68*'Clés de répartition'!$D152)</f>
        <v>10.327595748147605</v>
      </c>
      <c r="Q11" s="116"/>
      <c r="R11" s="116"/>
      <c r="S11" s="116"/>
      <c r="T11" s="53"/>
      <c r="V11" s="116"/>
      <c r="W11" s="112"/>
      <c r="X11" s="68"/>
      <c r="Y11" s="68"/>
      <c r="Z11" s="68"/>
      <c r="AA11" s="68"/>
    </row>
    <row r="12" spans="1:30" ht="15" customHeight="1">
      <c r="E12" s="597" t="s">
        <v>156</v>
      </c>
      <c r="F12" s="53">
        <f>SUM(_xlfn.XLOOKUP($E12,$A$115:$A$143,I$115:I$143,1))*1000*(1+$F$38)*(1-'Clés de répartition'!$B$299)</f>
        <v>1436420.6772377014</v>
      </c>
      <c r="G12" s="53">
        <f>(SUM(_xlfn.XLOOKUP($E12,$A$115:$A$143,J$115:J$143,1))+E156+F156+G156)*1000*(1+$F$38)*'Clés de répartition'!$F$255*'Clés de répartition'!$F$269</f>
        <v>2315931.5579922195</v>
      </c>
      <c r="H12" s="53">
        <f>SUM(_xlfn.XLOOKUP($E12,$A$115:$A$143,K$115:K$143,1))*1000*(1+$F$38)*'Clés de répartition'!$B$189</f>
        <v>23119.38453107563</v>
      </c>
      <c r="I12" s="53">
        <f t="shared" si="4"/>
        <v>76271.922021370832</v>
      </c>
      <c r="J12" s="54">
        <f>F12/('Clés de répartition'!B69*'Clés de répartition'!$D153)</f>
        <v>33.008660062966037</v>
      </c>
      <c r="K12" s="54">
        <f>G12/('Clés de répartition'!C69*'Clés de répartition'!$D153)</f>
        <v>43.302583563039619</v>
      </c>
      <c r="L12" s="54">
        <f>H12/('Clés de répartition'!D69*'Clés de répartition'!$D153)</f>
        <v>9.1503363216468738</v>
      </c>
      <c r="M12" s="54">
        <f>I12/('Clés de répartition'!E69*'Clés de répartition'!$D153)</f>
        <v>4.2021587824291027</v>
      </c>
      <c r="P12" s="9"/>
      <c r="Q12" s="116"/>
      <c r="R12" s="116"/>
      <c r="S12" s="116"/>
      <c r="T12" s="189"/>
      <c r="U12" s="191"/>
      <c r="V12" s="116"/>
      <c r="W12" s="112"/>
      <c r="X12" s="68"/>
      <c r="Y12" s="68"/>
      <c r="Z12" s="68"/>
      <c r="AA12" s="68"/>
      <c r="AB12" s="9"/>
      <c r="AC12" s="9"/>
      <c r="AD12" s="9"/>
    </row>
    <row r="13" spans="1:30" ht="14.25" customHeight="1">
      <c r="E13" s="597" t="s">
        <v>403</v>
      </c>
      <c r="F13" s="53">
        <f>SUM(_xlfn.XLOOKUP($E13,$A$115:$A$143,I$115:I$143,1))*1000*(1+$F$38)*(1-'Clés de répartition'!$B$299)</f>
        <v>1150728.1858178822</v>
      </c>
      <c r="G13" s="53">
        <f>(SUM(_xlfn.XLOOKUP($E13,$A$115:$A$143,J$115:J$143,1))+E157+F157+G157)*1000*(1+$F$38)*'Clés de répartition'!$F$255*'Clés de répartition'!$F$269</f>
        <v>355184.79886000796</v>
      </c>
      <c r="H13" s="53">
        <f>SUM(_xlfn.XLOOKUP($E13,$A$115:$A$143,K$115:K$143,1))*1000*(1+$F$38)*'Clés de répartition'!$B$189</f>
        <v>23718.794987392153</v>
      </c>
      <c r="I13" s="53">
        <f t="shared" si="4"/>
        <v>3078.5870687664515</v>
      </c>
      <c r="J13" s="54">
        <f>F13/('Clés de répartition'!B70*'Clés de répartition'!$D154)</f>
        <v>129.87172665533782</v>
      </c>
      <c r="K13" s="54">
        <f>G13/('Clés de répartition'!C70*'Clés de répartition'!$D154)</f>
        <v>150.28007158857795</v>
      </c>
      <c r="L13" s="54">
        <f>H13/('Clés de répartition'!D70*'Clés de répartition'!$D154)</f>
        <v>325.89750601986765</v>
      </c>
      <c r="M13" s="54">
        <f>I13/('Clés de répartition'!E70*'Clés de répartition'!$D154)</f>
        <v>4.9950603715636204</v>
      </c>
      <c r="P13" s="9"/>
      <c r="Q13" s="116"/>
      <c r="R13" s="116"/>
      <c r="S13" s="116"/>
      <c r="T13" s="189"/>
      <c r="U13" s="9"/>
      <c r="V13" s="116"/>
      <c r="W13" s="112"/>
      <c r="X13" s="68"/>
      <c r="Y13" s="68"/>
      <c r="Z13" s="68"/>
      <c r="AA13" s="68"/>
      <c r="AB13" s="9"/>
      <c r="AC13" s="9"/>
      <c r="AD13" s="9"/>
    </row>
    <row r="14" spans="1:30" ht="14.25" customHeight="1">
      <c r="E14" s="597" t="s">
        <v>168</v>
      </c>
      <c r="F14" s="53">
        <f>SUM(_xlfn.XLOOKUP($E14,$A$115:$A$143,I$115:I$143,1))*1000*(1+$F$38)*(1-'Clés de répartition'!$B$299)</f>
        <v>1039439.3514703035</v>
      </c>
      <c r="G14" s="53">
        <f>(SUM(_xlfn.XLOOKUP($E14,$A$115:$A$143,J$115:J$143,1))+E158+F158+G158)*1000*(1+$F$38)*'Clés de répartition'!$F$255*'Clés de répartition'!$F$269</f>
        <v>1248575.6425821453</v>
      </c>
      <c r="H14" s="53">
        <f>SUM(_xlfn.XLOOKUP($E14,$A$115:$A$143,K$115:K$143,1))*1000*(1+$F$38)*'Clés de répartition'!$B$189</f>
        <v>7973.9567974552974</v>
      </c>
      <c r="I14" s="53">
        <f t="shared" si="4"/>
        <v>17388.862867747983</v>
      </c>
      <c r="J14" s="54">
        <f>F14/('Clés de répartition'!B71*'Clés de répartition'!$D155)</f>
        <v>53.092201905094427</v>
      </c>
      <c r="K14" s="54">
        <f>G14/('Clés de répartition'!C71*'Clés de répartition'!$D155)</f>
        <v>126.39554464572028</v>
      </c>
      <c r="L14" s="54">
        <f>H14/('Clés de répartition'!D71*'Clés de répartition'!$D155)</f>
        <v>23.118134590943811</v>
      </c>
      <c r="M14" s="54">
        <f>I14/('Clés de répartition'!E71*'Clés de répartition'!$D155)</f>
        <v>9.362514206432536</v>
      </c>
      <c r="O14" s="3"/>
      <c r="P14" s="10"/>
      <c r="Q14" s="116"/>
      <c r="R14" s="116"/>
      <c r="S14" s="116"/>
      <c r="T14" s="190"/>
      <c r="U14" s="10"/>
      <c r="V14" s="116"/>
      <c r="W14" s="112"/>
      <c r="X14" s="68"/>
      <c r="Y14" s="68"/>
      <c r="Z14" s="68"/>
      <c r="AA14" s="68"/>
      <c r="AB14" s="10"/>
      <c r="AC14" s="10"/>
      <c r="AD14" s="10"/>
    </row>
    <row r="15" spans="1:30">
      <c r="E15" s="597" t="s">
        <v>167</v>
      </c>
      <c r="F15" s="53">
        <f>SUM(_xlfn.XLOOKUP($E15,$A$115:$A$143,I$115:I$143,1))*1000*(1+$F$38)*(1-'Clés de répartition'!$B$299)</f>
        <v>1567796.0946545037</v>
      </c>
      <c r="G15" s="53">
        <f>(SUM(_xlfn.XLOOKUP($E15,$A$115:$A$143,J$115:J$143,1))+E159+F159+G159)*1000*(1+$F$38)*'Clés de répartition'!$F$255*'Clés de répartition'!$F$269</f>
        <v>1809416.1416591154</v>
      </c>
      <c r="H15" s="53">
        <f>SUM(_xlfn.XLOOKUP($E15,$A$115:$A$143,K$115:K$143,1))*1000*(1+$F$38)*'Clés de répartition'!$B$189</f>
        <v>8531.2225007462675</v>
      </c>
      <c r="I15" s="53">
        <f t="shared" si="4"/>
        <v>33757.899313471557</v>
      </c>
      <c r="J15" s="54">
        <f>F15/('Clés de répartition'!B72*'Clés de répartition'!$D156)</f>
        <v>49.035428813251208</v>
      </c>
      <c r="K15" s="54">
        <f>G15/('Clés de répartition'!C72*'Clés de répartition'!$D156)</f>
        <v>113.55505835036244</v>
      </c>
      <c r="L15" s="54">
        <f>H15/('Clés de répartition'!D72*'Clés de répartition'!$D156)</f>
        <v>11.130019789353726</v>
      </c>
      <c r="M15" s="54">
        <f>I15/('Clés de répartition'!E72*'Clés de répartition'!$D156)</f>
        <v>6.6286379876066679</v>
      </c>
      <c r="P15" s="9"/>
      <c r="Q15" s="116"/>
      <c r="R15" s="116"/>
      <c r="S15" s="116"/>
      <c r="T15" s="189"/>
      <c r="U15" s="9"/>
      <c r="W15" s="112"/>
      <c r="X15" s="9"/>
      <c r="Y15" s="9"/>
      <c r="Z15" s="9"/>
      <c r="AA15" s="9"/>
      <c r="AB15" s="9"/>
      <c r="AC15" s="9"/>
      <c r="AD15" s="9"/>
    </row>
    <row r="16" spans="1:30">
      <c r="E16" s="597" t="s">
        <v>170</v>
      </c>
      <c r="F16" s="53">
        <f>SUM(_xlfn.XLOOKUP($E16,$A$115:$A$143,I$115:I$143,1))*1000*(1+$F$38)*(1-'Clés de répartition'!$B$299)</f>
        <v>1654343.2255102717</v>
      </c>
      <c r="G16" s="53">
        <f>(SUM(_xlfn.XLOOKUP($E16,$A$115:$A$143,J$115:J$143,1))+E160+F160+G160)*1000*(1+$F$38)*'Clés de répartition'!$F$255*'Clés de répartition'!$F$269</f>
        <v>2073964.2199433413</v>
      </c>
      <c r="H16" s="53">
        <f>SUM(_xlfn.XLOOKUP($E16,$A$115:$A$143,K$115:K$143,1))*1000*(1+$F$38)*'Clés de répartition'!$B$189</f>
        <v>30590.35062351228</v>
      </c>
      <c r="I16" s="53">
        <f t="shared" si="4"/>
        <v>54296.399701278016</v>
      </c>
      <c r="J16" s="54">
        <f>F16/('Clés de répartition'!B73*'Clés de répartition'!$D157)</f>
        <v>39.116235845366127</v>
      </c>
      <c r="K16" s="54">
        <f>G16/('Clés de répartition'!C73*'Clés de répartition'!$D157)</f>
        <v>45.079302793240942</v>
      </c>
      <c r="L16" s="54">
        <f>H16/('Clés de répartition'!D73*'Clés de répartition'!$D157)</f>
        <v>7.7577127023879315</v>
      </c>
      <c r="M16" s="54">
        <f>I16/('Clés de répartition'!E73*'Clés de répartition'!$D157)</f>
        <v>5.2196768158498017</v>
      </c>
      <c r="P16" s="435"/>
      <c r="Q16" s="9"/>
      <c r="R16" s="9"/>
      <c r="S16" s="9"/>
      <c r="T16" s="189"/>
      <c r="U16" s="9"/>
      <c r="V16" s="116"/>
      <c r="X16" s="9"/>
      <c r="Y16" s="9"/>
      <c r="Z16" s="112"/>
      <c r="AA16" s="9"/>
      <c r="AB16" s="9"/>
      <c r="AC16" s="9"/>
      <c r="AD16" s="9"/>
    </row>
    <row r="17" spans="1:30">
      <c r="E17" s="597" t="s">
        <v>171</v>
      </c>
      <c r="F17" s="53">
        <f>SUM(_xlfn.XLOOKUP($E17,$A$115:$A$143,I$115:I$143,1))*1000*(1+$F$38)*(1-'Clés de répartition'!$B$299)</f>
        <v>1758820.03698828</v>
      </c>
      <c r="G17" s="53">
        <f>(SUM(_xlfn.XLOOKUP($E17,$A$115:$A$143,J$115:J$143,1))+E161+F161+G161)*1000*(1+$F$38)*'Clés de répartition'!$F$255*'Clés de répartition'!$F$269</f>
        <v>1259869.7617732424</v>
      </c>
      <c r="H17" s="53">
        <f>SUM(_xlfn.XLOOKUP($E17,$A$115:$A$143,K$115:K$143,1))*1000*(1+$F$38)*'Clés de répartition'!$B$189</f>
        <v>16237.356276831386</v>
      </c>
      <c r="I17" s="53">
        <f t="shared" si="4"/>
        <v>70183.897616577684</v>
      </c>
      <c r="J17" s="54">
        <f>F17/('Clés de répartition'!B74*'Clés de répartition'!$D158)</f>
        <v>66.718544077400153</v>
      </c>
      <c r="K17" s="54">
        <f>G17/('Clés de répartition'!C74*'Clés de répartition'!$D158)</f>
        <v>68.447674057814908</v>
      </c>
      <c r="L17" s="54">
        <f>H17/('Clés de répartition'!D74*'Clés de répartition'!$D158)</f>
        <v>39.716188398667946</v>
      </c>
      <c r="M17" s="54">
        <f>I17/('Clés de répartition'!E74*'Clés de répartition'!$D158)</f>
        <v>9.4637729540567754</v>
      </c>
      <c r="P17" s="9"/>
      <c r="Q17" s="9"/>
      <c r="R17" s="9"/>
      <c r="S17" s="9"/>
      <c r="T17" s="189"/>
      <c r="U17" s="9"/>
      <c r="V17" s="116"/>
      <c r="W17" s="116"/>
      <c r="X17" s="191"/>
      <c r="Y17" s="191"/>
      <c r="Z17" s="191"/>
      <c r="AA17" s="191"/>
      <c r="AB17" s="9"/>
      <c r="AC17" s="9"/>
      <c r="AD17" s="9"/>
    </row>
    <row r="18" spans="1:30">
      <c r="E18" s="597" t="s">
        <v>172</v>
      </c>
      <c r="F18" s="53">
        <f>SUM(_xlfn.XLOOKUP($E18,$A$115:$A$143,I$115:I$143,1))*1000*(1+$F$38)*(1-'Clés de répartition'!$B$299)</f>
        <v>95693.597150235961</v>
      </c>
      <c r="G18" s="53">
        <f>(SUM(_xlfn.XLOOKUP($E18,$A$115:$A$143,J$115:J$143,1))+E162+F162+G162)*1000*(1+$F$38)*'Clés de répartition'!$F$255*'Clés de répartition'!$F$269</f>
        <v>363296.21124946029</v>
      </c>
      <c r="H18" s="53">
        <f>SUM(_xlfn.XLOOKUP($E18,$A$115:$A$143,K$115:K$143,1))*1000*(1+$F$38)*'Clés de répartition'!$B$189</f>
        <v>2594.4036898741992</v>
      </c>
      <c r="I18" s="53">
        <f t="shared" si="4"/>
        <v>7846.429547876679</v>
      </c>
      <c r="J18" s="54">
        <f>F18/('Clés de répartition'!B75*'Clés de répartition'!$D159)</f>
        <v>20.771699362464009</v>
      </c>
      <c r="K18" s="54">
        <f>G18/('Clés de répartition'!C75*'Clés de répartition'!$D159)</f>
        <v>67.83227460473266</v>
      </c>
      <c r="L18" s="54">
        <f>H18/('Clés de répartition'!D75*'Clés de répartition'!$D159)</f>
        <v>2.170796715406329</v>
      </c>
      <c r="M18" s="54">
        <f>I18/('Clés de répartition'!E75*'Clés de répartition'!$D159)</f>
        <v>2.4792715815951878</v>
      </c>
      <c r="P18" s="9"/>
      <c r="Q18" s="9"/>
      <c r="R18" s="9"/>
      <c r="S18" s="9"/>
      <c r="T18" s="189"/>
      <c r="U18" s="9"/>
      <c r="V18" s="116"/>
      <c r="W18" s="116"/>
      <c r="X18" s="9"/>
      <c r="Y18" s="9"/>
      <c r="Z18" s="9"/>
      <c r="AA18" s="9"/>
      <c r="AB18" s="9"/>
      <c r="AC18" s="9"/>
      <c r="AD18" s="9"/>
    </row>
    <row r="19" spans="1:30">
      <c r="E19" s="597" t="s">
        <v>173</v>
      </c>
      <c r="F19" s="53">
        <f>SUM(_xlfn.XLOOKUP($E19,$A$115:$A$143,I$115:I$143,1))*1000*(1+$F$38)*(1-'Clés de répartition'!$B$299)</f>
        <v>1040086.6768502485</v>
      </c>
      <c r="G19" s="53">
        <f>(SUM(_xlfn.XLOOKUP($E19,$A$115:$A$143,J$115:J$143,1))+E163+F163+G163)*1000*(1+$F$38)*'Clés de répartition'!$F$255*'Clés de répartition'!$F$269</f>
        <v>1219628.7747628412</v>
      </c>
      <c r="H19" s="53">
        <f>SUM(_xlfn.XLOOKUP($E19,$A$115:$A$143,K$115:K$143,1))*1000*(1+$F$38)*'Clés de répartition'!$B$189</f>
        <v>16929.523181742028</v>
      </c>
      <c r="I19" s="53">
        <f t="shared" si="4"/>
        <v>3631.0480461394231</v>
      </c>
      <c r="J19" s="54">
        <f>F19/('Clés de répartition'!B76*'Clés de répartition'!$D160)</f>
        <v>33.707149544961567</v>
      </c>
      <c r="K19" s="54">
        <f>G19/('Clés de répartition'!C76*'Clés de répartition'!$D160)</f>
        <v>107.60724299270622</v>
      </c>
      <c r="L19" s="54">
        <f>H19/('Clés de répartition'!D76*'Clés de répartition'!$D160)</f>
        <v>129.65718687760233</v>
      </c>
      <c r="M19" s="54">
        <f>I19/('Clés de répartition'!E76*'Clés de répartition'!$D160)</f>
        <v>2.1663358197901723</v>
      </c>
      <c r="P19" s="9"/>
      <c r="Q19" s="9"/>
      <c r="R19" s="9"/>
      <c r="S19" s="9"/>
      <c r="T19" s="189"/>
      <c r="U19" s="9"/>
      <c r="V19" s="116"/>
      <c r="W19" s="116"/>
      <c r="X19" s="9"/>
      <c r="Y19" s="9"/>
      <c r="Z19" s="9"/>
      <c r="AA19" s="9"/>
      <c r="AB19" s="9"/>
      <c r="AC19" s="9"/>
      <c r="AD19" s="9"/>
    </row>
    <row r="20" spans="1:30">
      <c r="E20" s="597" t="s">
        <v>350</v>
      </c>
      <c r="F20" s="53">
        <f>SUM(_xlfn.XLOOKUP($E20,$A$115:$A$143,I$115:I$143,1))*1000*(1+$F$38)*(1-'Clés de répartition'!$B$299)</f>
        <v>689050.80282907293</v>
      </c>
      <c r="G20" s="53">
        <f>(SUM(_xlfn.XLOOKUP($E20,$A$115:$A$143,J$115:J$143,1))+E164+F164+G164)*1000*(1+$F$38)*'Clés de répartition'!$F$255*'Clés de répartition'!$F$269</f>
        <v>1559329.8319971398</v>
      </c>
      <c r="H20" s="53">
        <f>SUM(_xlfn.XLOOKUP($E20,$A$115:$A$143,K$115:K$143,1))*1000*(1+$F$38)*'Clés de répartition'!$B$189</f>
        <v>34509.091901456384</v>
      </c>
      <c r="I20" s="53">
        <f t="shared" si="4"/>
        <v>79674.35399469304</v>
      </c>
      <c r="J20" s="54">
        <f>F20/('Clés de répartition'!B77*'Clés de répartition'!$D161)</f>
        <v>34.315633344054909</v>
      </c>
      <c r="K20" s="54">
        <f>G20/('Clés de répartition'!C77*'Clés de répartition'!$D161)</f>
        <v>44.934641128101255</v>
      </c>
      <c r="L20" s="54">
        <f>H20/('Clés de répartition'!D77*'Clés de répartition'!$D161)</f>
        <v>3.5668178921662896</v>
      </c>
      <c r="M20" s="54">
        <f>I20/('Clés de répartition'!E77*'Clés de répartition'!$D161)</f>
        <v>3.9941484052786893</v>
      </c>
      <c r="P20" s="9"/>
      <c r="Q20" s="9"/>
      <c r="R20" s="9"/>
      <c r="S20" s="9"/>
      <c r="T20" s="189"/>
      <c r="U20" s="9"/>
      <c r="V20" s="116"/>
      <c r="W20" s="116"/>
      <c r="X20" s="9"/>
      <c r="Y20" s="9"/>
      <c r="Z20" s="9"/>
      <c r="AA20" s="9"/>
      <c r="AB20" s="9"/>
      <c r="AC20" s="9"/>
      <c r="AD20" s="9"/>
    </row>
    <row r="21" spans="1:30">
      <c r="E21" s="597" t="s">
        <v>174</v>
      </c>
      <c r="F21" s="53">
        <f>SUM(_xlfn.XLOOKUP($E21,$A$115:$A$143,I$115:I$143,1))*1000*(1+$F$38)*(1-'Clés de répartition'!$B$299)</f>
        <v>3155250.1859085462</v>
      </c>
      <c r="G21" s="53">
        <f>(SUM(_xlfn.XLOOKUP($E21,$A$115:$A$143,J$115:J$143,1))+E165+F165+G165)*1000*(1+$F$38)*'Clés de répartition'!$F$255*'Clés de répartition'!$F$269</f>
        <v>2164005.9082224797</v>
      </c>
      <c r="H21" s="53">
        <f>SUM(_xlfn.XLOOKUP($E21,$A$115:$A$143,K$115:K$143,1))*1000*(1+$F$38)*'Clés de répartition'!$B$189</f>
        <v>34090.978513204711</v>
      </c>
      <c r="I21" s="53">
        <f t="shared" si="4"/>
        <v>29247.328248455007</v>
      </c>
      <c r="J21" s="54">
        <f>F21/('Clés de répartition'!B78*'Clés de répartition'!$D162)</f>
        <v>71.465388351227347</v>
      </c>
      <c r="K21" s="54">
        <f>G21/('Clés de répartition'!C78*'Clés de répartition'!$D162)</f>
        <v>97.279865569407761</v>
      </c>
      <c r="L21" s="54">
        <f>H21/('Clés de répartition'!D78*'Clés de répartition'!$D162)</f>
        <v>185.95036847179773</v>
      </c>
      <c r="M21" s="54">
        <f>I21/('Clés de répartition'!E78*'Clés de répartition'!$D162)</f>
        <v>9.981426088163543</v>
      </c>
      <c r="P21" s="9"/>
      <c r="Q21" s="9"/>
      <c r="R21" s="9"/>
      <c r="S21" s="9"/>
      <c r="T21" s="189"/>
      <c r="U21" s="9"/>
      <c r="V21" s="116"/>
      <c r="W21" s="116"/>
      <c r="X21" s="9"/>
      <c r="Y21" s="9"/>
      <c r="Z21" s="9"/>
      <c r="AA21" s="9"/>
      <c r="AB21" s="9"/>
      <c r="AC21" s="9"/>
      <c r="AD21" s="9"/>
    </row>
    <row r="22" spans="1:30">
      <c r="E22" s="597" t="s">
        <v>175</v>
      </c>
      <c r="F22" s="53">
        <f>SUM(_xlfn.XLOOKUP($E22,$A$115:$A$143,I$115:I$143,1))*1000*(1+$F$38)*(1-'Clés de répartition'!$B$299)</f>
        <v>1608954.9157767363</v>
      </c>
      <c r="G22" s="53">
        <f>(SUM(_xlfn.XLOOKUP($E22,$A$115:$A$143,J$115:J$143,1))+E166+F166+G166)*1000*(1+$F$38)*'Clés de répartition'!$F$255*'Clés de répartition'!$F$269</f>
        <v>2026165.4043768642</v>
      </c>
      <c r="H22" s="53">
        <f>SUM(_xlfn.XLOOKUP($E22,$A$115:$A$143,K$115:K$143,1))*1000*(1+$F$38)*'Clés de répartition'!$B$189</f>
        <v>53339.588614901622</v>
      </c>
      <c r="I22" s="53">
        <f t="shared" si="4"/>
        <v>93550.104647207903</v>
      </c>
      <c r="J22" s="54">
        <f>F22/('Clés de répartition'!B79*'Clés de répartition'!$D163)</f>
        <v>44.3091064740821</v>
      </c>
      <c r="K22" s="54">
        <f>G22/('Clés de répartition'!C79*'Clés de répartition'!$D163)</f>
        <v>48.116383610155403</v>
      </c>
      <c r="L22" s="54">
        <f>H22/('Clés de répartition'!D79*'Clés de répartition'!$D163)</f>
        <v>7.5343030398930146</v>
      </c>
      <c r="M22" s="54">
        <f>I22/('Clés de répartition'!E79*'Clés de répartition'!$D163)</f>
        <v>7.0533789096187904</v>
      </c>
      <c r="P22" s="9"/>
      <c r="Q22" s="9"/>
      <c r="R22" s="9"/>
      <c r="S22" s="9"/>
      <c r="T22" s="9"/>
      <c r="U22" s="9"/>
      <c r="V22" s="192"/>
      <c r="W22" s="116"/>
      <c r="X22" s="9"/>
      <c r="Y22" s="228"/>
      <c r="Z22" s="9"/>
      <c r="AA22" s="9"/>
      <c r="AB22" s="9"/>
      <c r="AC22" s="9"/>
      <c r="AD22" s="9"/>
    </row>
    <row r="23" spans="1:30">
      <c r="E23" s="597" t="s">
        <v>176</v>
      </c>
      <c r="F23" s="53">
        <f>SUM(_xlfn.XLOOKUP($E23,$A$115:$A$143,I$115:I$143,1))*1000*(1+$F$38)*(1-'Clés de répartition'!$B$299)</f>
        <v>292113.44651743065</v>
      </c>
      <c r="G23" s="53">
        <f>(SUM(_xlfn.XLOOKUP($E23,$A$115:$A$143,J$115:J$143,1))+E167+F167+G167)*1000*(1+$F$38)*'Clés de répartition'!$F$255*'Clés de répartition'!$F$269</f>
        <v>2696314.7258137967</v>
      </c>
      <c r="H23" s="53">
        <f>SUM(_xlfn.XLOOKUP($E23,$A$115:$A$143,K$115:K$143,1))*1000*(1+$F$38)*'Clés de répartition'!$B$189</f>
        <v>5635.7354602717387</v>
      </c>
      <c r="I23" s="53">
        <f t="shared" si="4"/>
        <v>4921.1584991593145</v>
      </c>
      <c r="J23" s="54">
        <f>F23/('Clés de répartition'!B80*'Clés de répartition'!$D164)</f>
        <v>8.4151594543453925</v>
      </c>
      <c r="K23" s="54">
        <f>G23/('Clés de répartition'!C80*'Clés de répartition'!$D164)</f>
        <v>113.37307190144152</v>
      </c>
      <c r="L23" s="54">
        <f>H23/('Clés de répartition'!D80*'Clés de répartition'!$D164)</f>
        <v>6.6501667008665786</v>
      </c>
      <c r="M23" s="54">
        <f>I23/('Clés de répartition'!E80*'Clés de répartition'!$D164)</f>
        <v>1.029709933704688</v>
      </c>
      <c r="P23" s="9"/>
      <c r="Q23" s="9"/>
      <c r="R23" s="9"/>
      <c r="S23" s="9"/>
      <c r="T23" s="9"/>
      <c r="U23" s="9"/>
      <c r="V23" s="192"/>
      <c r="W23" s="9"/>
      <c r="X23" s="9"/>
      <c r="Y23" s="9"/>
      <c r="Z23" s="9"/>
      <c r="AA23" s="9"/>
      <c r="AB23" s="9"/>
      <c r="AC23" s="9"/>
      <c r="AD23" s="9"/>
    </row>
    <row r="24" spans="1:30">
      <c r="E24" s="597" t="s">
        <v>177</v>
      </c>
      <c r="F24" s="53">
        <f>SUM(_xlfn.XLOOKUP($E24,$A$115:$A$143,I$115:I$143,1))*1000*(1+$F$38)*(1-'Clés de répartition'!$B$299)</f>
        <v>2411650.7673439076</v>
      </c>
      <c r="G24" s="53">
        <f>(SUM(_xlfn.XLOOKUP($E24,$A$115:$A$143,J$115:J$143,1))+E168+F168+G168)*1000*(1+$F$38)*'Clés de répartition'!$F$255*'Clés de répartition'!$F$269</f>
        <v>1275984.8257705977</v>
      </c>
      <c r="H24" s="53">
        <f>SUM(_xlfn.XLOOKUP($E24,$A$115:$A$143,K$115:K$143,1))*1000*(1+$F$38)*'Clés de répartition'!$B$189</f>
        <v>8568.5104344860938</v>
      </c>
      <c r="I24" s="53">
        <f t="shared" si="4"/>
        <v>40802.842628148173</v>
      </c>
      <c r="J24" s="54">
        <f>F24/('Clés de répartition'!B81*'Clés de répartition'!$D165)</f>
        <v>88.058532144703463</v>
      </c>
      <c r="K24" s="54">
        <f>G24/('Clés de répartition'!C81*'Clés de répartition'!$D165)</f>
        <v>81.647047124047219</v>
      </c>
      <c r="L24" s="54">
        <f>H24/('Clés de répartition'!D81*'Clés de répartition'!$D165)</f>
        <v>66.102118599225577</v>
      </c>
      <c r="M24" s="54">
        <f>I24/('Clés de répartition'!E81*'Clés de répartition'!$D165)</f>
        <v>13.29007972794269</v>
      </c>
      <c r="P24" s="9"/>
      <c r="Q24" s="9"/>
      <c r="R24" s="9"/>
      <c r="S24" s="9"/>
      <c r="T24" s="9"/>
      <c r="U24" s="9"/>
      <c r="V24" s="192"/>
      <c r="W24" s="9"/>
      <c r="X24" s="9"/>
      <c r="Y24" s="9"/>
      <c r="Z24" s="9"/>
      <c r="AA24" s="9"/>
      <c r="AB24" s="9"/>
      <c r="AC24" s="9"/>
      <c r="AD24" s="9"/>
    </row>
    <row r="25" spans="1:30">
      <c r="E25" s="597" t="s">
        <v>351</v>
      </c>
      <c r="F25" s="53">
        <f>SUM(_xlfn.XLOOKUP($E25,$A$115:$A$143,I$115:I$143,1))*1000*(1+$F$38)*(1-'Clés de répartition'!$B$299)</f>
        <v>1080.7982330686252</v>
      </c>
      <c r="G25" s="53">
        <f>(SUM(_xlfn.XLOOKUP($E25,$A$115:$A$143,J$115:J$143,1))+E169+F169+G169)*1000*(1+$F$38)*'Clés de répartition'!$F$255*'Clés de répartition'!$F$269</f>
        <v>2527840.4444237729</v>
      </c>
      <c r="H25" s="53">
        <f>SUM(_xlfn.XLOOKUP($E25,$A$115:$A$143,K$115:K$143,1))*1000*(1+$F$38)*'Clés de répartition'!$B$189</f>
        <v>754.80000000000007</v>
      </c>
      <c r="I25" s="53">
        <f t="shared" si="4"/>
        <v>1110</v>
      </c>
      <c r="J25" s="54">
        <f>F25/('Clés de répartition'!B82*'Clés de répartition'!$D166)</f>
        <v>5.1004073856438549E-2</v>
      </c>
      <c r="K25" s="54">
        <f>G25/('Clés de répartition'!C82*'Clés de répartition'!$D166)</f>
        <v>92.831051736039072</v>
      </c>
      <c r="L25" s="54">
        <f>H25/('Clés de répartition'!D82*'Clés de répartition'!$D166)</f>
        <v>0.34102708639184232</v>
      </c>
      <c r="M25" s="54">
        <f>I25/('Clés de répartition'!E82*'Clés de répartition'!$D166)</f>
        <v>8.8946782340508443E-2</v>
      </c>
      <c r="O25" s="3"/>
      <c r="P25" s="10"/>
      <c r="Q25" s="10"/>
      <c r="R25" s="10"/>
      <c r="S25" s="10"/>
      <c r="T25" s="10"/>
      <c r="U25" s="10"/>
      <c r="V25" s="192"/>
      <c r="W25" s="10"/>
      <c r="X25" s="10"/>
      <c r="Y25" s="10"/>
      <c r="Z25" s="10"/>
      <c r="AA25" s="10"/>
      <c r="AB25" s="10"/>
      <c r="AC25" s="10"/>
      <c r="AD25" s="10"/>
    </row>
    <row r="26" spans="1:30">
      <c r="E26" s="597" t="s">
        <v>856</v>
      </c>
      <c r="F26" s="53">
        <f>SUM(_xlfn.XLOOKUP($E26,$A$115:$A$143,I$115:I$143,1))*1000*(1+$F$38)*(1-'Clés de répartition'!$B$299)</f>
        <v>786740.57097999635</v>
      </c>
      <c r="G26" s="53">
        <f>(SUM(_xlfn.XLOOKUP($E26,$A$115:$A$143,J$115:J$143,1))+E170+F170+G170)*1000*(1+$F$38)*'Clés de répartition'!$F$255*'Clés de répartition'!$F$269</f>
        <v>1123369.2338328736</v>
      </c>
      <c r="H26" s="53">
        <f>SUM(_xlfn.XLOOKUP($E26,$A$115:$A$143,K$115:K$143,1))*1000*(1+$F$38)*'Clés de répartition'!$B$189</f>
        <v>12511.162462728567</v>
      </c>
      <c r="I26" s="53">
        <f t="shared" si="4"/>
        <v>29262.364053292546</v>
      </c>
      <c r="J26" s="54">
        <f>F26/('Clés de répartition'!B83*'Clés de répartition'!$D167)</f>
        <v>40.305617465876978</v>
      </c>
      <c r="K26" s="54">
        <f>G26/('Clés de répartition'!C83*'Clés de répartition'!$D167)</f>
        <v>50.821569758361093</v>
      </c>
      <c r="L26" s="54">
        <f>H26/('Clés de répartition'!D83*'Clés de répartition'!$D167)</f>
        <v>7.931058311096117</v>
      </c>
      <c r="M26" s="54">
        <f>I26/('Clés de répartition'!E83*'Clés de répartition'!$D167)</f>
        <v>5.3694080934329493</v>
      </c>
      <c r="P26" s="9"/>
      <c r="Q26" s="9"/>
      <c r="R26" s="9"/>
      <c r="S26" s="9"/>
      <c r="T26" s="9"/>
      <c r="U26" s="9"/>
      <c r="V26" s="9"/>
      <c r="W26" s="9"/>
      <c r="X26" s="9"/>
      <c r="Y26" s="9"/>
      <c r="Z26" s="9"/>
      <c r="AA26" s="9"/>
      <c r="AB26" s="9"/>
      <c r="AC26" s="9"/>
      <c r="AD26" s="9"/>
    </row>
    <row r="27" spans="1:30">
      <c r="E27" s="597" t="s">
        <v>178</v>
      </c>
      <c r="F27" s="53">
        <f>SUM(_xlfn.XLOOKUP($E27,$A$115:$A$143,I$115:I$143,1))*1000*(1+$F$38)*(1-'Clés de répartition'!$B$299)</f>
        <v>2990882.8344457215</v>
      </c>
      <c r="G27" s="53">
        <f>(SUM(_xlfn.XLOOKUP($E27,$A$115:$A$143,J$115:J$143,1))+E171+F171+G171)*1000*(1+$F$38)*'Clés de répartition'!$F$255*'Clés de répartition'!$F$269</f>
        <v>14211253.911895821</v>
      </c>
      <c r="H27" s="53">
        <f>SUM(_xlfn.XLOOKUP($E27,$A$115:$A$143,K$115:K$143,1))*1000*(1+$F$38)*'Clés de répartition'!$B$189</f>
        <v>41795.587308077804</v>
      </c>
      <c r="I27" s="53">
        <f t="shared" si="4"/>
        <v>269152.80962989555</v>
      </c>
      <c r="J27" s="54">
        <f>F27/('Clés de répartition'!B84*'Clés de répartition'!$D168)</f>
        <v>115.14873985079979</v>
      </c>
      <c r="K27" s="54">
        <f>G27/('Clés de répartition'!C84*'Clés de répartition'!$D168)</f>
        <v>390.30334209163908</v>
      </c>
      <c r="L27" s="54">
        <f>H27/('Clés de répartition'!D84*'Clés de répartition'!$D168)</f>
        <v>8.1800475606612437</v>
      </c>
      <c r="M27" s="54">
        <f>I27/('Clés de répartition'!E84*'Clés de répartition'!$D168)</f>
        <v>12.140968677855914</v>
      </c>
      <c r="P27" s="9"/>
      <c r="Q27" s="9"/>
      <c r="R27" s="9"/>
      <c r="S27" s="9"/>
      <c r="T27" s="9"/>
      <c r="U27" s="9"/>
      <c r="V27" s="192"/>
      <c r="W27" s="9"/>
      <c r="X27" s="9"/>
      <c r="Y27" s="9"/>
      <c r="Z27" s="9"/>
      <c r="AA27" s="9"/>
      <c r="AB27" s="9"/>
      <c r="AC27" s="9"/>
      <c r="AD27" s="9"/>
    </row>
    <row r="28" spans="1:30">
      <c r="E28" s="597" t="s">
        <v>179</v>
      </c>
      <c r="F28" s="53">
        <f>SUM(_xlfn.XLOOKUP($E28,$A$115:$A$143,I$115:I$143,1))*1000*(1+$F$38)*(1-'Clés de répartition'!$B$299)</f>
        <v>447448.84692917427</v>
      </c>
      <c r="G28" s="53">
        <f>(SUM(_xlfn.XLOOKUP($E28,$A$115:$A$143,J$115:J$143,1))+E172+F172+G172)*1000*(1+$F$38)*'Clés de répartition'!$F$255*'Clés de répartition'!$F$269</f>
        <v>1710158.2114104151</v>
      </c>
      <c r="H28" s="53">
        <f>SUM(_xlfn.XLOOKUP($E28,$A$115:$A$143,K$115:K$143,1))*1000*(1+$F$38)*'Clés de répartition'!$B$189</f>
        <v>8996.6215973857306</v>
      </c>
      <c r="I28" s="53">
        <f t="shared" si="4"/>
        <v>20233.045823046748</v>
      </c>
      <c r="J28" s="54">
        <f>F28/('Clés de répartition'!B85*'Clés de répartition'!$D169)</f>
        <v>12.79157334462289</v>
      </c>
      <c r="K28" s="54">
        <f>G28/('Clés de répartition'!C85*'Clés de répartition'!$D169)</f>
        <v>35.009137549043757</v>
      </c>
      <c r="L28" s="54">
        <f>H28/('Clés de répartition'!D85*'Clés de répartition'!$D169)</f>
        <v>1.7305879783541918</v>
      </c>
      <c r="M28" s="54">
        <f>I28/('Clés de répartition'!E85*'Clés de répartition'!$D169)</f>
        <v>1.7003922865282048</v>
      </c>
      <c r="P28" s="9"/>
      <c r="Q28" s="9"/>
      <c r="R28" s="9"/>
      <c r="S28" s="9"/>
      <c r="T28" s="9"/>
      <c r="U28" s="9"/>
      <c r="V28" s="192"/>
      <c r="W28" s="9"/>
      <c r="X28" s="9"/>
      <c r="Y28" s="9"/>
      <c r="Z28" s="9"/>
      <c r="AA28" s="9"/>
      <c r="AB28" s="9"/>
      <c r="AC28" s="9"/>
      <c r="AD28" s="9"/>
    </row>
    <row r="29" spans="1:30">
      <c r="P29" s="9"/>
      <c r="Q29" s="9"/>
      <c r="R29" s="9"/>
      <c r="S29" s="9"/>
      <c r="T29" s="9"/>
      <c r="U29" s="9"/>
      <c r="V29" s="192"/>
      <c r="W29" s="9"/>
      <c r="X29" s="9"/>
      <c r="Y29" s="9"/>
      <c r="Z29" s="9"/>
      <c r="AA29" s="9"/>
      <c r="AB29" s="9"/>
      <c r="AC29" s="9"/>
      <c r="AD29" s="9"/>
    </row>
    <row r="30" spans="1:30">
      <c r="A30" s="114"/>
      <c r="B30" s="225"/>
      <c r="C30" s="226"/>
      <c r="D30" s="226"/>
      <c r="E30" s="19" t="s">
        <v>31</v>
      </c>
      <c r="F30" s="53">
        <f>(G35*1000000)*(1+$F$38)*(1-'Clés de répartition'!$B$299)</f>
        <v>235896516.37254098</v>
      </c>
      <c r="G30" s="53">
        <f>(H35*1000000)*(1+$F$38)*'Clés de répartition'!$F$255*'Clés de répartition'!$F$269</f>
        <v>16888431.609656602</v>
      </c>
      <c r="H30" s="53">
        <f>(I35*1000000)*(1+$F$38)*'Clés de répartition'!$B$189</f>
        <v>3323607.8005595589</v>
      </c>
      <c r="I30" s="53">
        <f>(J35*1000000)*(1+$F$38)</f>
        <v>8716618.4509564172</v>
      </c>
      <c r="J30" s="54">
        <f>F30/('Clés de répartition'!B58*'Clés de répartition'!$D142)</f>
        <v>448.61191785488739</v>
      </c>
      <c r="K30" s="54">
        <f>G30/('Clés de répartition'!C58*'Clés de répartition'!$D142)</f>
        <v>35.319871953089987</v>
      </c>
      <c r="L30" s="54">
        <f>H30/('Clés de répartition'!D58*'Clés de répartition'!$D142)</f>
        <v>74.225844616996241</v>
      </c>
      <c r="M30" s="54">
        <f>I30/('Clés de répartition'!E58*'Clés de répartition'!$D142)</f>
        <v>55.919789237830194</v>
      </c>
      <c r="P30" s="9"/>
      <c r="Q30" s="9"/>
      <c r="R30" s="9"/>
      <c r="S30" s="9"/>
      <c r="T30" s="9"/>
      <c r="U30" s="9"/>
      <c r="V30" s="192"/>
      <c r="W30" s="9"/>
      <c r="X30" s="9"/>
      <c r="Y30" s="9"/>
      <c r="Z30" s="9"/>
      <c r="AA30" s="9"/>
      <c r="AB30" s="9"/>
      <c r="AC30" s="9"/>
      <c r="AD30" s="9"/>
    </row>
    <row r="31" spans="1:30">
      <c r="A31" s="227"/>
      <c r="B31" s="225"/>
      <c r="C31" s="226"/>
      <c r="D31" s="226"/>
      <c r="E31" s="226"/>
      <c r="F31" s="226"/>
      <c r="G31" s="52"/>
      <c r="H31" s="52"/>
      <c r="K31"/>
      <c r="P31" s="9"/>
      <c r="Q31" s="9"/>
      <c r="R31" s="9"/>
      <c r="S31" s="9"/>
      <c r="T31" s="9"/>
      <c r="U31" s="9"/>
      <c r="V31" s="192"/>
      <c r="W31" s="9"/>
      <c r="X31" s="9"/>
      <c r="Y31" s="9"/>
      <c r="Z31" s="9"/>
      <c r="AA31" s="9"/>
      <c r="AB31" s="9"/>
      <c r="AC31" s="9"/>
      <c r="AD31" s="9"/>
    </row>
    <row r="32" spans="1:30" ht="14.25" customHeight="1">
      <c r="A32" s="114"/>
      <c r="B32" s="52"/>
      <c r="C32" s="52"/>
      <c r="D32" s="52"/>
      <c r="E32" s="52"/>
      <c r="F32" s="52"/>
      <c r="K32"/>
      <c r="O32" s="115"/>
      <c r="P32" s="9"/>
      <c r="Q32" s="9"/>
      <c r="R32" s="9"/>
      <c r="S32" s="9"/>
      <c r="T32" s="9"/>
      <c r="U32" s="9"/>
      <c r="V32" s="9"/>
      <c r="W32" s="9"/>
      <c r="X32" s="9"/>
      <c r="Y32" s="9"/>
      <c r="Z32" s="9"/>
      <c r="AA32" s="9"/>
      <c r="AB32" s="9"/>
      <c r="AC32" s="9"/>
      <c r="AD32" s="9"/>
    </row>
    <row r="33" spans="1:30" ht="14.25" customHeight="1">
      <c r="B33" s="711" t="s">
        <v>900</v>
      </c>
      <c r="C33" s="711"/>
      <c r="D33" s="711"/>
      <c r="E33" s="520">
        <v>6758.9246999999996</v>
      </c>
      <c r="F33" s="521">
        <v>1</v>
      </c>
      <c r="G33" s="515" t="s">
        <v>10</v>
      </c>
      <c r="H33" s="516" t="s">
        <v>42</v>
      </c>
      <c r="I33" s="517" t="s">
        <v>12</v>
      </c>
      <c r="J33" s="518" t="s">
        <v>13</v>
      </c>
      <c r="P33" s="9"/>
      <c r="Q33" s="9"/>
      <c r="R33" s="9"/>
      <c r="S33" s="9"/>
      <c r="T33" s="9"/>
      <c r="U33" s="9"/>
      <c r="V33" s="9"/>
      <c r="W33" s="9"/>
      <c r="X33" s="9"/>
      <c r="Y33" s="9"/>
      <c r="Z33" s="9"/>
      <c r="AA33" s="9"/>
      <c r="AB33" s="9"/>
      <c r="AC33" s="9"/>
      <c r="AD33" s="9"/>
    </row>
    <row r="34" spans="1:30" ht="14.25" customHeight="1">
      <c r="B34" s="693" t="s">
        <v>897</v>
      </c>
      <c r="C34" s="693"/>
      <c r="D34" s="693"/>
      <c r="E34" s="372">
        <f>F34*$E$33</f>
        <v>398.77655729999998</v>
      </c>
      <c r="F34" s="159">
        <v>5.8999999999999997E-2</v>
      </c>
      <c r="G34" s="560">
        <f>$E34*'Clés de répartition'!Q$15</f>
        <v>335.22712712491267</v>
      </c>
      <c r="H34" s="560">
        <f>$E34*'Clés de répartition'!R$15</f>
        <v>40.427359668068092</v>
      </c>
      <c r="I34" s="560">
        <f>$E34*'Clés de répartition'!S$15</f>
        <v>11.060959594933996</v>
      </c>
      <c r="J34" s="560">
        <f>$E34*'Clés de répartition'!T$15</f>
        <v>12.061110912085267</v>
      </c>
      <c r="K34" s="226"/>
      <c r="L34" s="226"/>
      <c r="P34" s="9"/>
      <c r="Q34" s="9"/>
      <c r="R34" s="9"/>
      <c r="S34" s="9"/>
      <c r="T34" s="9"/>
      <c r="U34" s="9"/>
      <c r="V34" s="9"/>
      <c r="W34" s="9"/>
      <c r="X34" s="9"/>
      <c r="Y34" s="9"/>
      <c r="Z34" s="9"/>
      <c r="AA34" s="9"/>
      <c r="AB34" s="9"/>
      <c r="AC34" s="9"/>
      <c r="AD34" s="9"/>
    </row>
    <row r="35" spans="1:30" ht="14.25" customHeight="1">
      <c r="B35" s="693" t="s">
        <v>303</v>
      </c>
      <c r="C35" s="693"/>
      <c r="D35" s="693"/>
      <c r="E35" s="372">
        <f t="shared" ref="E35:E38" si="5">F35*$E$33</f>
        <v>256.83913859999996</v>
      </c>
      <c r="F35" s="159">
        <v>3.7999999999999999E-2</v>
      </c>
      <c r="G35" s="560">
        <f>$E35*'Clés de répartition'!AK15</f>
        <v>218.261382332925</v>
      </c>
      <c r="H35" s="560">
        <f>$E35*'Clés de répartition'!AL15</f>
        <v>26.32165087861453</v>
      </c>
      <c r="I35" s="560">
        <f>$E35*'Clés de répartition'!AM15</f>
        <v>4.4032959731843651</v>
      </c>
      <c r="J35" s="560">
        <f>$E35*'Clés de répartition'!AN15</f>
        <v>7.8528094152760515</v>
      </c>
      <c r="K35" s="226"/>
      <c r="L35" s="226"/>
      <c r="P35" s="9"/>
      <c r="Q35" s="9"/>
      <c r="R35" s="9"/>
      <c r="S35" s="9"/>
      <c r="T35" s="9"/>
      <c r="U35" s="9"/>
      <c r="V35" s="9"/>
      <c r="W35" s="9"/>
      <c r="X35" s="9"/>
      <c r="Y35" s="9"/>
      <c r="Z35" s="9"/>
      <c r="AA35" s="9"/>
      <c r="AB35" s="9"/>
      <c r="AC35" s="9"/>
      <c r="AD35" s="9"/>
    </row>
    <row r="36" spans="1:30" ht="14.25" customHeight="1">
      <c r="B36" s="693" t="s">
        <v>898</v>
      </c>
      <c r="C36" s="693"/>
      <c r="D36" s="693"/>
      <c r="E36" s="372">
        <f t="shared" si="5"/>
        <v>1189.5707471999999</v>
      </c>
      <c r="F36" s="159">
        <v>0.17599999999999999</v>
      </c>
      <c r="G36" s="366"/>
      <c r="H36" s="366"/>
      <c r="I36" s="20"/>
      <c r="J36" s="20"/>
      <c r="K36" s="115"/>
      <c r="L36" s="115"/>
      <c r="P36" s="9"/>
      <c r="Q36" s="9"/>
      <c r="R36" s="9"/>
      <c r="S36" s="9"/>
      <c r="T36" s="9"/>
      <c r="U36" s="9"/>
      <c r="V36" s="9"/>
      <c r="W36" s="9"/>
      <c r="X36" s="9"/>
      <c r="Y36" s="9"/>
      <c r="Z36" s="9"/>
      <c r="AA36" s="9"/>
      <c r="AB36" s="9"/>
      <c r="AC36" s="9"/>
      <c r="AD36" s="9"/>
    </row>
    <row r="37" spans="1:30" ht="15" customHeight="1">
      <c r="B37" s="693" t="s">
        <v>11</v>
      </c>
      <c r="C37" s="693"/>
      <c r="D37" s="693"/>
      <c r="E37" s="372">
        <v>667.25869999999998</v>
      </c>
      <c r="F37" s="159">
        <v>9.9000000000000005E-2</v>
      </c>
      <c r="G37" s="366">
        <v>0</v>
      </c>
      <c r="H37" s="366">
        <f>E37-SUM(E173:G173)/1000</f>
        <v>601.60672310386803</v>
      </c>
      <c r="I37" s="20">
        <v>0</v>
      </c>
      <c r="J37" s="74">
        <v>0</v>
      </c>
      <c r="K37" s="52" t="s">
        <v>1025</v>
      </c>
      <c r="L37" s="52"/>
      <c r="P37" s="9"/>
      <c r="Q37" s="9"/>
      <c r="R37" s="9"/>
      <c r="S37" s="9"/>
      <c r="T37" s="9"/>
      <c r="U37" s="9"/>
      <c r="V37" s="9"/>
      <c r="W37" s="9"/>
      <c r="X37" s="9"/>
      <c r="Y37" s="9"/>
      <c r="Z37" s="9"/>
      <c r="AA37" s="9"/>
      <c r="AB37" s="9"/>
      <c r="AC37" s="9"/>
      <c r="AD37" s="9"/>
    </row>
    <row r="38" spans="1:30" ht="14.25" customHeight="1">
      <c r="B38" s="710" t="s">
        <v>899</v>
      </c>
      <c r="C38" s="710"/>
      <c r="D38" s="710"/>
      <c r="E38" s="522">
        <f t="shared" si="5"/>
        <v>743.481717</v>
      </c>
      <c r="F38" s="523">
        <v>0.11</v>
      </c>
      <c r="G38" s="561"/>
      <c r="H38" s="561"/>
      <c r="I38" s="562"/>
      <c r="J38" s="562"/>
      <c r="K38" s="524"/>
      <c r="L38" s="524"/>
      <c r="P38" s="9"/>
      <c r="Q38" s="9"/>
      <c r="R38" s="9"/>
      <c r="S38" s="9"/>
      <c r="T38" s="9"/>
      <c r="U38" s="9"/>
      <c r="V38" s="9"/>
      <c r="W38" s="9"/>
      <c r="X38" s="9"/>
      <c r="Y38" s="9"/>
      <c r="Z38" s="9"/>
      <c r="AA38" s="9"/>
      <c r="AB38" s="9"/>
      <c r="AC38" s="9"/>
      <c r="AD38" s="9"/>
    </row>
    <row r="39" spans="1:30" ht="14.25" customHeight="1">
      <c r="B39" s="711" t="s">
        <v>905</v>
      </c>
      <c r="C39" s="711"/>
      <c r="D39" s="711"/>
      <c r="E39" s="519">
        <v>2350.3000000000002</v>
      </c>
      <c r="F39" s="526">
        <f>E39/$E$39</f>
        <v>1</v>
      </c>
      <c r="G39" s="526"/>
      <c r="H39" s="526"/>
      <c r="I39" s="226"/>
      <c r="J39" s="226"/>
      <c r="K39" s="226"/>
      <c r="L39" s="226"/>
      <c r="P39" s="9"/>
      <c r="Q39" s="9"/>
      <c r="R39" s="9"/>
      <c r="S39" s="9"/>
      <c r="T39" s="9"/>
      <c r="U39" s="9"/>
      <c r="V39" s="9"/>
      <c r="W39" s="9"/>
      <c r="X39" s="9"/>
      <c r="Y39" s="9"/>
      <c r="Z39" s="9"/>
      <c r="AA39" s="9"/>
      <c r="AB39" s="9"/>
      <c r="AC39" s="9"/>
      <c r="AD39" s="9"/>
    </row>
    <row r="40" spans="1:30" ht="14.25" customHeight="1">
      <c r="B40" s="694" t="s">
        <v>901</v>
      </c>
      <c r="C40" s="694"/>
      <c r="D40" s="694"/>
      <c r="E40" s="525">
        <v>622.79999999999995</v>
      </c>
      <c r="F40" s="526">
        <f t="shared" ref="F40:F42" si="6">E40/$E$39</f>
        <v>0.26498744841084115</v>
      </c>
      <c r="G40" s="526"/>
      <c r="H40" s="526"/>
      <c r="I40" s="226"/>
      <c r="J40" s="226"/>
      <c r="K40" s="226"/>
      <c r="L40" s="226"/>
      <c r="P40" s="9"/>
      <c r="Q40" s="9"/>
      <c r="R40" s="9"/>
      <c r="S40" s="9"/>
      <c r="T40" s="9"/>
      <c r="U40" s="9"/>
      <c r="V40" s="9"/>
      <c r="W40" s="9"/>
      <c r="X40" s="9"/>
      <c r="Y40" s="9"/>
      <c r="Z40" s="9"/>
      <c r="AA40" s="9"/>
      <c r="AB40" s="9"/>
      <c r="AC40" s="9"/>
      <c r="AD40" s="9"/>
    </row>
    <row r="41" spans="1:30" ht="14.25" customHeight="1">
      <c r="B41" s="694" t="s">
        <v>902</v>
      </c>
      <c r="C41" s="694"/>
      <c r="D41" s="694"/>
      <c r="E41">
        <v>521.80000000000007</v>
      </c>
      <c r="F41" s="526">
        <f t="shared" si="6"/>
        <v>0.22201421095179341</v>
      </c>
      <c r="G41" s="526"/>
      <c r="H41" s="526"/>
      <c r="I41" s="52"/>
      <c r="J41" s="52"/>
      <c r="K41"/>
      <c r="P41" s="9"/>
      <c r="Q41" s="9"/>
      <c r="R41" s="9"/>
      <c r="S41" s="9"/>
      <c r="T41" s="9"/>
      <c r="U41" s="9"/>
      <c r="V41" s="9"/>
      <c r="W41" s="9"/>
      <c r="X41" s="9"/>
      <c r="Y41" s="9"/>
      <c r="Z41" s="9"/>
      <c r="AA41" s="9"/>
      <c r="AB41" s="9"/>
      <c r="AC41" s="9"/>
      <c r="AD41" s="9"/>
    </row>
    <row r="42" spans="1:30" ht="14.25" customHeight="1">
      <c r="B42" s="694" t="s">
        <v>903</v>
      </c>
      <c r="C42" s="694"/>
      <c r="D42" s="694"/>
      <c r="E42">
        <v>1205.7</v>
      </c>
      <c r="F42" s="526">
        <f t="shared" si="6"/>
        <v>0.51299834063736538</v>
      </c>
      <c r="G42" s="526"/>
      <c r="H42" s="526"/>
      <c r="I42" s="52"/>
      <c r="J42" s="52"/>
      <c r="K42"/>
      <c r="P42" s="9"/>
      <c r="Q42" s="9"/>
      <c r="R42" s="9"/>
      <c r="S42" s="9"/>
      <c r="T42" s="9"/>
      <c r="U42" s="9"/>
      <c r="V42" s="9"/>
      <c r="W42" s="9"/>
      <c r="X42" s="9"/>
      <c r="Y42" s="9"/>
      <c r="Z42" s="9"/>
      <c r="AA42" s="9"/>
      <c r="AB42" s="9"/>
      <c r="AC42" s="9"/>
      <c r="AD42" s="9"/>
    </row>
    <row r="43" spans="1:30" ht="14.25" customHeight="1">
      <c r="C43" s="52"/>
      <c r="D43" s="52"/>
      <c r="E43" s="52"/>
      <c r="F43" s="52"/>
      <c r="G43" s="52"/>
      <c r="H43" s="52"/>
      <c r="I43" s="52"/>
      <c r="J43" s="52"/>
      <c r="K43"/>
      <c r="P43" s="9"/>
      <c r="Q43" s="9"/>
      <c r="R43" s="9"/>
      <c r="S43" s="9"/>
      <c r="T43" s="9"/>
      <c r="U43" s="9"/>
      <c r="V43" s="9"/>
      <c r="W43" s="9"/>
      <c r="X43" s="9"/>
      <c r="Y43" s="9"/>
      <c r="Z43" s="9"/>
      <c r="AA43" s="9"/>
      <c r="AB43" s="9"/>
      <c r="AC43" s="9"/>
      <c r="AD43" s="9"/>
    </row>
    <row r="44" spans="1:30" ht="14.25" customHeight="1">
      <c r="C44" s="52"/>
      <c r="D44" s="52"/>
      <c r="E44" s="52"/>
      <c r="F44" s="52"/>
      <c r="G44" s="52"/>
      <c r="H44" s="52"/>
      <c r="I44" s="706" t="s">
        <v>398</v>
      </c>
      <c r="J44" s="706"/>
      <c r="K44" s="706"/>
      <c r="L44" s="706"/>
      <c r="T44" s="9"/>
      <c r="U44" s="9"/>
      <c r="V44" s="9"/>
      <c r="W44" s="9"/>
      <c r="X44" s="9"/>
      <c r="Y44" s="9"/>
      <c r="Z44" s="9"/>
      <c r="AA44" s="9"/>
      <c r="AB44" s="9"/>
      <c r="AC44" s="9"/>
      <c r="AD44" s="9"/>
    </row>
    <row r="45" spans="1:30" ht="14.25" customHeight="1" thickBot="1">
      <c r="C45" s="52"/>
      <c r="D45" s="52"/>
      <c r="E45" s="553" t="s">
        <v>904</v>
      </c>
      <c r="F45" s="554" t="s">
        <v>896</v>
      </c>
      <c r="G45" s="554" t="s">
        <v>906</v>
      </c>
      <c r="H45" s="555" t="s">
        <v>907</v>
      </c>
      <c r="I45" s="556" t="s">
        <v>10</v>
      </c>
      <c r="J45" s="557" t="s">
        <v>42</v>
      </c>
      <c r="K45" s="558" t="s">
        <v>12</v>
      </c>
      <c r="L45" s="559" t="s">
        <v>13</v>
      </c>
      <c r="T45" s="9"/>
      <c r="U45" s="9"/>
      <c r="V45" s="9"/>
      <c r="W45" s="9"/>
      <c r="X45" s="9"/>
      <c r="Y45" s="9"/>
      <c r="Z45" s="9"/>
      <c r="AA45" s="9"/>
      <c r="AB45" s="9"/>
      <c r="AC45" s="9"/>
      <c r="AD45" s="9"/>
    </row>
    <row r="46" spans="1:30" ht="14.25" customHeight="1">
      <c r="A46" s="111" t="s">
        <v>379</v>
      </c>
      <c r="B46" s="195">
        <v>45009</v>
      </c>
      <c r="C46" s="193" t="s">
        <v>377</v>
      </c>
      <c r="D46" s="194" t="s">
        <v>347</v>
      </c>
      <c r="E46" s="527">
        <v>10000</v>
      </c>
      <c r="F46" s="196">
        <f>E46*$F$40</f>
        <v>2649.8744841084117</v>
      </c>
      <c r="G46" s="196">
        <f>E46/$E$39*$E$36</f>
        <v>5061.3570488873756</v>
      </c>
      <c r="H46" s="540">
        <f>F46+G46</f>
        <v>7711.2315329957873</v>
      </c>
      <c r="I46" s="197">
        <v>0</v>
      </c>
      <c r="J46" s="197">
        <v>0</v>
      </c>
      <c r="K46" s="198">
        <f>H46</f>
        <v>7711.2315329957873</v>
      </c>
      <c r="L46" s="198">
        <v>0</v>
      </c>
      <c r="M46" s="312"/>
      <c r="N46" s="216" t="s">
        <v>399</v>
      </c>
      <c r="O46" s="312"/>
      <c r="P46" s="312"/>
      <c r="T46" s="9"/>
      <c r="U46" s="9"/>
      <c r="V46" s="9"/>
      <c r="W46" s="9"/>
      <c r="X46" s="9"/>
      <c r="Y46" s="9"/>
      <c r="Z46" s="9"/>
      <c r="AA46" s="9"/>
      <c r="AB46" s="9"/>
      <c r="AC46" s="9"/>
      <c r="AD46" s="9"/>
    </row>
    <row r="47" spans="1:30" ht="14.25" customHeight="1">
      <c r="A47" s="698" t="s">
        <v>380</v>
      </c>
      <c r="B47" s="195">
        <v>36300</v>
      </c>
      <c r="C47" s="195" t="s">
        <v>895</v>
      </c>
      <c r="D47" s="194" t="s">
        <v>347</v>
      </c>
      <c r="E47" s="528">
        <v>2274</v>
      </c>
      <c r="F47" s="508">
        <f t="shared" ref="F47:F110" si="7">E47*$F$40</f>
        <v>602.58145768625275</v>
      </c>
      <c r="G47" s="508">
        <f t="shared" ref="G47:G110" si="8">E47/$E$39*$E$36</f>
        <v>1150.9525929169893</v>
      </c>
      <c r="H47" s="541">
        <f t="shared" ref="H47:H110" si="9">F47+G47</f>
        <v>1753.5340506032421</v>
      </c>
      <c r="I47" s="507">
        <v>0</v>
      </c>
      <c r="J47" s="507">
        <v>0</v>
      </c>
      <c r="K47" s="77">
        <v>0</v>
      </c>
      <c r="L47" s="77">
        <v>0</v>
      </c>
      <c r="M47" s="312"/>
      <c r="N47" s="217" t="s">
        <v>400</v>
      </c>
      <c r="O47" s="312"/>
      <c r="P47" s="312"/>
      <c r="T47" s="9"/>
      <c r="U47" s="9"/>
      <c r="V47" s="9"/>
      <c r="W47" s="9"/>
      <c r="X47" s="9"/>
      <c r="Y47" s="9"/>
      <c r="Z47" s="9"/>
      <c r="AA47" s="9"/>
      <c r="AB47" s="9"/>
      <c r="AC47" s="9"/>
      <c r="AD47" s="9"/>
    </row>
    <row r="48" spans="1:30" ht="14.25" customHeight="1">
      <c r="A48" s="698"/>
      <c r="B48" s="195">
        <v>45000</v>
      </c>
      <c r="C48" s="193" t="s">
        <v>382</v>
      </c>
      <c r="D48" s="194" t="s">
        <v>347</v>
      </c>
      <c r="E48" s="527">
        <v>30000</v>
      </c>
      <c r="F48" s="196">
        <f t="shared" si="7"/>
        <v>7949.6234523252342</v>
      </c>
      <c r="G48" s="196">
        <f t="shared" si="8"/>
        <v>15184.071146662127</v>
      </c>
      <c r="H48" s="540">
        <f t="shared" si="9"/>
        <v>23133.69459898736</v>
      </c>
      <c r="I48" s="197">
        <v>0</v>
      </c>
      <c r="J48" s="197">
        <v>0</v>
      </c>
      <c r="K48" s="198">
        <f>H48</f>
        <v>23133.69459898736</v>
      </c>
      <c r="L48" s="198">
        <v>0</v>
      </c>
      <c r="M48" s="312"/>
      <c r="N48" s="150" t="s">
        <v>401</v>
      </c>
      <c r="O48" s="312"/>
      <c r="P48" s="312"/>
      <c r="T48" s="9"/>
      <c r="U48" s="9"/>
      <c r="V48" s="9"/>
      <c r="W48" s="9"/>
      <c r="X48" s="9"/>
      <c r="Y48" s="9"/>
      <c r="Z48" s="9"/>
      <c r="AA48" s="9"/>
      <c r="AB48" s="9"/>
      <c r="AC48" s="9"/>
      <c r="AD48" s="9"/>
    </row>
    <row r="49" spans="1:30" ht="14.25" customHeight="1">
      <c r="A49" s="698"/>
      <c r="B49" s="195">
        <v>36200</v>
      </c>
      <c r="C49" s="193" t="s">
        <v>49</v>
      </c>
      <c r="D49" s="194" t="s">
        <v>347</v>
      </c>
      <c r="E49" s="529">
        <v>210</v>
      </c>
      <c r="F49" s="257">
        <f t="shared" si="7"/>
        <v>55.647364166276645</v>
      </c>
      <c r="G49" s="257">
        <f t="shared" si="8"/>
        <v>106.28849802663488</v>
      </c>
      <c r="H49" s="542">
        <f t="shared" si="9"/>
        <v>161.93586219291154</v>
      </c>
      <c r="I49" s="478">
        <f>$H49*'Clés de répartition'!Q$7</f>
        <v>138.4970527186309</v>
      </c>
      <c r="J49" s="478">
        <f>$H49*'Clés de répartition'!R$7</f>
        <v>15.038874896000348</v>
      </c>
      <c r="K49" s="478">
        <f>$H49*'Clés de répartition'!S$7</f>
        <v>4.1206813472383566</v>
      </c>
      <c r="L49" s="478">
        <f>$H49*'Clés de répartition'!T$7</f>
        <v>4.279253231041956</v>
      </c>
      <c r="M49" s="312"/>
      <c r="N49" s="127" t="s">
        <v>402</v>
      </c>
      <c r="O49" s="312"/>
      <c r="P49" s="312"/>
      <c r="T49" s="9"/>
      <c r="U49" s="9"/>
      <c r="V49" s="9"/>
      <c r="W49" s="9"/>
      <c r="X49" s="9"/>
      <c r="Y49" s="9"/>
      <c r="Z49" s="9"/>
      <c r="AA49" s="9"/>
      <c r="AB49" s="9"/>
      <c r="AC49" s="9"/>
      <c r="AD49" s="9"/>
    </row>
    <row r="50" spans="1:30" ht="14.25" customHeight="1">
      <c r="A50" s="698"/>
      <c r="B50" s="195">
        <v>36209</v>
      </c>
      <c r="C50" s="193" t="s">
        <v>354</v>
      </c>
      <c r="D50" s="194" t="s">
        <v>347</v>
      </c>
      <c r="E50" s="530">
        <v>490</v>
      </c>
      <c r="F50" s="256">
        <f t="shared" si="7"/>
        <v>129.84384972131215</v>
      </c>
      <c r="G50" s="256">
        <f t="shared" si="8"/>
        <v>248.00649539548138</v>
      </c>
      <c r="H50" s="543">
        <f t="shared" si="9"/>
        <v>377.85034511679351</v>
      </c>
      <c r="I50" s="479">
        <f>$H50*'Clés de répartition'!AC$7</f>
        <v>319.75355194382735</v>
      </c>
      <c r="J50" s="479">
        <f>$H50*'Clés de répartition'!AD$7</f>
        <v>34.720837525722224</v>
      </c>
      <c r="K50" s="479">
        <f>$H50*'Clés de répartition'!AE$7</f>
        <v>13.496276669001711</v>
      </c>
      <c r="L50" s="479">
        <f>$H50*'Clés de répartition'!AF$7</f>
        <v>9.8796789782422412</v>
      </c>
      <c r="M50" s="312"/>
      <c r="N50" s="220" t="s">
        <v>444</v>
      </c>
      <c r="O50" s="312"/>
      <c r="P50" s="312"/>
      <c r="T50" s="9"/>
      <c r="U50" s="9"/>
      <c r="V50" s="9"/>
      <c r="W50" s="9"/>
      <c r="X50" s="9"/>
      <c r="Y50" s="9"/>
      <c r="Z50" s="9"/>
      <c r="AA50" s="9"/>
      <c r="AB50" s="9"/>
      <c r="AC50" s="9"/>
      <c r="AD50" s="9"/>
    </row>
    <row r="51" spans="1:30" ht="14.25" customHeight="1">
      <c r="A51" s="698"/>
      <c r="B51" s="195">
        <v>39710</v>
      </c>
      <c r="C51" s="193" t="s">
        <v>52</v>
      </c>
      <c r="D51" s="194" t="s">
        <v>347</v>
      </c>
      <c r="E51" s="531">
        <v>3736</v>
      </c>
      <c r="F51" s="202">
        <f t="shared" si="7"/>
        <v>989.99310726290253</v>
      </c>
      <c r="G51" s="202">
        <f t="shared" si="8"/>
        <v>1890.9229934643236</v>
      </c>
      <c r="H51" s="544">
        <f t="shared" si="9"/>
        <v>2880.916100727226</v>
      </c>
      <c r="I51" s="203">
        <f>H51</f>
        <v>2880.916100727226</v>
      </c>
      <c r="J51" s="203">
        <v>0</v>
      </c>
      <c r="K51" s="204">
        <v>0</v>
      </c>
      <c r="L51" s="204">
        <v>0</v>
      </c>
      <c r="M51" s="312"/>
      <c r="N51" s="125" t="s">
        <v>442</v>
      </c>
      <c r="O51" s="312"/>
      <c r="P51" s="312"/>
      <c r="T51" s="9"/>
      <c r="U51" s="9"/>
      <c r="V51" s="9"/>
      <c r="W51" s="9"/>
      <c r="X51" s="9"/>
      <c r="Y51" s="9"/>
      <c r="Z51" s="9"/>
      <c r="AA51" s="9"/>
      <c r="AB51" s="9"/>
      <c r="AC51" s="9"/>
      <c r="AD51" s="9"/>
    </row>
    <row r="52" spans="1:30" ht="14.25" customHeight="1">
      <c r="A52" s="698"/>
      <c r="B52" s="195">
        <v>40504</v>
      </c>
      <c r="C52" s="193" t="s">
        <v>63</v>
      </c>
      <c r="D52" s="194" t="s">
        <v>347</v>
      </c>
      <c r="E52" s="529">
        <v>619</v>
      </c>
      <c r="F52" s="257">
        <f t="shared" si="7"/>
        <v>164.02723056631066</v>
      </c>
      <c r="G52" s="257">
        <f t="shared" si="8"/>
        <v>313.29800132612854</v>
      </c>
      <c r="H52" s="542">
        <f t="shared" si="9"/>
        <v>477.32523189243921</v>
      </c>
      <c r="I52" s="478">
        <f>$H52*'Clés de répartition'!Q$7</f>
        <v>408.2365506325358</v>
      </c>
      <c r="J52" s="478">
        <f>$H52*'Clés de répartition'!R$7</f>
        <v>44.328874098210548</v>
      </c>
      <c r="K52" s="478">
        <f>$H52*'Clés de répartition'!S$7</f>
        <v>12.146198828288297</v>
      </c>
      <c r="L52" s="478">
        <f>$H52*'Clés de répartition'!T$7</f>
        <v>12.613608333404621</v>
      </c>
      <c r="M52" s="312"/>
      <c r="N52" s="126" t="s">
        <v>443</v>
      </c>
      <c r="O52" s="312"/>
      <c r="P52" s="312"/>
      <c r="T52" s="9"/>
      <c r="U52" s="9"/>
      <c r="V52" s="9"/>
      <c r="W52" s="9"/>
      <c r="X52" s="9"/>
      <c r="Y52" s="9"/>
      <c r="Z52" s="9"/>
      <c r="AA52" s="9"/>
      <c r="AB52" s="9"/>
      <c r="AC52" s="9"/>
      <c r="AD52" s="9"/>
    </row>
    <row r="53" spans="1:30" ht="14.25" customHeight="1">
      <c r="A53" s="698"/>
      <c r="B53" s="195">
        <v>46101</v>
      </c>
      <c r="C53" s="193" t="s">
        <v>60</v>
      </c>
      <c r="D53" s="194" t="s">
        <v>347</v>
      </c>
      <c r="E53" s="529">
        <v>1538</v>
      </c>
      <c r="F53" s="257">
        <f t="shared" si="7"/>
        <v>407.55069565587371</v>
      </c>
      <c r="G53" s="257">
        <f t="shared" si="8"/>
        <v>778.4367141188784</v>
      </c>
      <c r="H53" s="542">
        <f t="shared" si="9"/>
        <v>1185.987409774752</v>
      </c>
      <c r="I53" s="478">
        <f>$H53*'Clés de répartition'!Q$7</f>
        <v>1014.3260337202585</v>
      </c>
      <c r="J53" s="478">
        <f>$H53*'Clés de répartition'!R$7</f>
        <v>110.1418551907073</v>
      </c>
      <c r="K53" s="478">
        <f>$H53*'Clés de répartition'!S$7</f>
        <v>30.17908529548853</v>
      </c>
      <c r="L53" s="478">
        <f>$H53*'Clés de répartition'!T$7</f>
        <v>31.34043556829775</v>
      </c>
      <c r="M53" s="312"/>
      <c r="N53" s="565" t="s">
        <v>923</v>
      </c>
      <c r="P53" s="312"/>
      <c r="T53" s="9"/>
      <c r="U53" s="9"/>
      <c r="V53" s="9"/>
      <c r="W53" s="9"/>
      <c r="X53" s="9"/>
      <c r="Y53" s="9"/>
      <c r="Z53" s="9"/>
      <c r="AA53" s="9"/>
      <c r="AB53" s="9"/>
      <c r="AC53" s="9"/>
      <c r="AD53" s="9"/>
    </row>
    <row r="54" spans="1:30" ht="14.25" customHeight="1">
      <c r="A54" s="698"/>
      <c r="B54" s="195">
        <v>48045</v>
      </c>
      <c r="C54" s="193" t="s">
        <v>362</v>
      </c>
      <c r="D54" s="194" t="s">
        <v>347</v>
      </c>
      <c r="E54" s="566">
        <v>2915</v>
      </c>
      <c r="F54" s="567">
        <f t="shared" si="7"/>
        <v>772.43841211760196</v>
      </c>
      <c r="G54" s="567">
        <f t="shared" si="8"/>
        <v>1475.3855797506699</v>
      </c>
      <c r="H54" s="568">
        <f t="shared" si="9"/>
        <v>2247.8239918682721</v>
      </c>
      <c r="I54" s="569">
        <v>0</v>
      </c>
      <c r="J54" s="569">
        <f>H54*0.75</f>
        <v>1685.867993901204</v>
      </c>
      <c r="K54" s="570">
        <f>H54*0.25</f>
        <v>561.95599796706801</v>
      </c>
      <c r="L54" s="570">
        <v>0</v>
      </c>
      <c r="M54" s="312"/>
      <c r="N54" s="312"/>
      <c r="O54" s="312"/>
      <c r="P54" s="312"/>
      <c r="T54" s="9"/>
      <c r="U54" s="9"/>
      <c r="V54" s="9"/>
      <c r="W54" s="9"/>
      <c r="X54" s="9"/>
      <c r="Y54" s="9"/>
      <c r="Z54" s="9"/>
      <c r="AA54" s="9"/>
      <c r="AB54" s="9"/>
      <c r="AC54" s="9"/>
      <c r="AD54" s="9"/>
    </row>
    <row r="55" spans="1:30" ht="14.25" customHeight="1">
      <c r="A55" s="698"/>
      <c r="B55" s="195">
        <v>48046</v>
      </c>
      <c r="C55" s="193" t="s">
        <v>55</v>
      </c>
      <c r="D55" s="194" t="s">
        <v>347</v>
      </c>
      <c r="E55" s="527">
        <v>618</v>
      </c>
      <c r="F55" s="196">
        <f t="shared" si="7"/>
        <v>163.76224311789983</v>
      </c>
      <c r="G55" s="196">
        <f t="shared" si="8"/>
        <v>312.79186562123977</v>
      </c>
      <c r="H55" s="540">
        <f t="shared" si="9"/>
        <v>476.55410873913956</v>
      </c>
      <c r="I55" s="197">
        <v>0</v>
      </c>
      <c r="J55" s="197">
        <v>0</v>
      </c>
      <c r="K55" s="198">
        <f>H55</f>
        <v>476.55410873913956</v>
      </c>
      <c r="L55" s="198">
        <v>0</v>
      </c>
      <c r="M55" s="312"/>
      <c r="N55" s="312"/>
      <c r="O55" s="312"/>
      <c r="P55" s="312"/>
      <c r="T55" s="9"/>
      <c r="U55" s="9"/>
      <c r="V55" s="9"/>
      <c r="W55" s="9"/>
      <c r="X55" s="9"/>
      <c r="Y55" s="9"/>
      <c r="Z55" s="9"/>
      <c r="AA55" s="9"/>
      <c r="AB55" s="9"/>
      <c r="AC55" s="9"/>
      <c r="AD55" s="9"/>
    </row>
    <row r="56" spans="1:30" ht="14.25" customHeight="1">
      <c r="A56" s="698"/>
      <c r="B56" s="195">
        <v>59027</v>
      </c>
      <c r="C56" s="193" t="s">
        <v>366</v>
      </c>
      <c r="D56" s="194" t="s">
        <v>347</v>
      </c>
      <c r="E56" s="529">
        <v>23051</v>
      </c>
      <c r="F56" s="257">
        <f t="shared" si="7"/>
        <v>6108.2256733182994</v>
      </c>
      <c r="G56" s="257">
        <f t="shared" si="8"/>
        <v>11666.934133390288</v>
      </c>
      <c r="H56" s="542">
        <f t="shared" si="9"/>
        <v>17775.159806708587</v>
      </c>
      <c r="I56" s="478">
        <f>$H56*'Clés de répartition'!Q$7</f>
        <v>15202.359820081714</v>
      </c>
      <c r="J56" s="478">
        <f>$H56*'Clés de répartition'!R$7</f>
        <v>1650.7671677509713</v>
      </c>
      <c r="K56" s="478">
        <f>$H56*'Clés de répartition'!S$7</f>
        <v>452.31345588186349</v>
      </c>
      <c r="L56" s="478">
        <f>$H56*'Clés de répartition'!T$7</f>
        <v>469.71936299403859</v>
      </c>
      <c r="M56" s="312"/>
      <c r="N56" s="312"/>
      <c r="O56" s="312"/>
      <c r="P56" s="312"/>
      <c r="T56" s="9"/>
      <c r="U56" s="9"/>
      <c r="V56" s="9"/>
      <c r="W56" s="9"/>
      <c r="X56" s="9"/>
      <c r="Y56" s="9"/>
      <c r="Z56" s="9"/>
      <c r="AA56" s="9"/>
      <c r="AB56" s="9"/>
      <c r="AC56" s="9"/>
      <c r="AD56" s="9"/>
    </row>
    <row r="57" spans="1:30" ht="14.25" customHeight="1">
      <c r="A57" s="698"/>
      <c r="B57" s="195">
        <v>68067</v>
      </c>
      <c r="C57" s="193" t="s">
        <v>64</v>
      </c>
      <c r="D57" s="194" t="s">
        <v>347</v>
      </c>
      <c r="E57" s="529">
        <v>240</v>
      </c>
      <c r="F57" s="257">
        <f t="shared" si="7"/>
        <v>63.596987618601879</v>
      </c>
      <c r="G57" s="257">
        <f t="shared" si="8"/>
        <v>121.47256917329702</v>
      </c>
      <c r="H57" s="542">
        <f t="shared" si="9"/>
        <v>185.06955679189889</v>
      </c>
      <c r="I57" s="478">
        <f>$H57*'Clés de répartition'!Q$7</f>
        <v>158.28234596414958</v>
      </c>
      <c r="J57" s="478">
        <f>$H57*'Clés de répartition'!R$7</f>
        <v>17.187285595428968</v>
      </c>
      <c r="K57" s="478">
        <f>$H57*'Clés de répartition'!S$7</f>
        <v>4.7093501111295497</v>
      </c>
      <c r="L57" s="478">
        <f>$H57*'Clés de répartition'!T$7</f>
        <v>4.890575121190806</v>
      </c>
      <c r="M57" s="312"/>
      <c r="N57" s="312"/>
      <c r="O57" s="312"/>
      <c r="P57" s="312"/>
      <c r="T57" s="9"/>
      <c r="U57" s="9"/>
      <c r="V57" s="9"/>
      <c r="W57" s="9"/>
      <c r="X57" s="9"/>
      <c r="Y57" s="9"/>
      <c r="Z57" s="9"/>
      <c r="AA57" s="9"/>
      <c r="AB57" s="9"/>
      <c r="AC57" s="9"/>
      <c r="AD57" s="9"/>
    </row>
    <row r="58" spans="1:30" ht="14.25" customHeight="1">
      <c r="A58" s="698"/>
      <c r="B58" s="195">
        <v>75001</v>
      </c>
      <c r="C58" s="193" t="s">
        <v>62</v>
      </c>
      <c r="D58" s="194" t="s">
        <v>347</v>
      </c>
      <c r="E58" s="529">
        <v>10500</v>
      </c>
      <c r="F58" s="257">
        <f t="shared" si="7"/>
        <v>2782.3682083138319</v>
      </c>
      <c r="G58" s="257">
        <f t="shared" si="8"/>
        <v>5314.424901331744</v>
      </c>
      <c r="H58" s="542">
        <f t="shared" si="9"/>
        <v>8096.7931096455759</v>
      </c>
      <c r="I58" s="478">
        <f>$H58*'Clés de répartition'!Q$7</f>
        <v>6924.8526359315438</v>
      </c>
      <c r="J58" s="478">
        <f>$H58*'Clés de répartition'!R$7</f>
        <v>751.94374480001727</v>
      </c>
      <c r="K58" s="478">
        <f>$H58*'Clés de répartition'!S$7</f>
        <v>206.03406736191778</v>
      </c>
      <c r="L58" s="478">
        <f>$H58*'Clés de répartition'!T$7</f>
        <v>213.96266155209776</v>
      </c>
      <c r="M58" s="312"/>
      <c r="N58" s="312"/>
      <c r="O58" s="312"/>
      <c r="P58" s="312"/>
      <c r="T58" s="9"/>
      <c r="U58" s="9"/>
      <c r="V58" s="9"/>
      <c r="W58" s="9"/>
      <c r="X58" s="9"/>
      <c r="Y58" s="9"/>
      <c r="Z58" s="9"/>
      <c r="AA58" s="9"/>
      <c r="AB58" s="9"/>
      <c r="AC58" s="9"/>
      <c r="AD58" s="9"/>
    </row>
    <row r="59" spans="1:30" ht="14.25" customHeight="1">
      <c r="A59" s="698"/>
      <c r="B59" s="195">
        <v>75015</v>
      </c>
      <c r="C59" s="193" t="s">
        <v>368</v>
      </c>
      <c r="D59" s="194" t="s">
        <v>347</v>
      </c>
      <c r="E59" s="529">
        <v>161</v>
      </c>
      <c r="F59" s="257">
        <f t="shared" si="7"/>
        <v>42.662979194145429</v>
      </c>
      <c r="G59" s="257">
        <f t="shared" si="8"/>
        <v>81.487848487086751</v>
      </c>
      <c r="H59" s="542">
        <f t="shared" si="9"/>
        <v>124.15082768123219</v>
      </c>
      <c r="I59" s="478">
        <f>$H59*'Clés de répartition'!Q$7</f>
        <v>106.18107375095036</v>
      </c>
      <c r="J59" s="478">
        <f>$H59*'Clés de répartition'!R$7</f>
        <v>11.5298040869336</v>
      </c>
      <c r="K59" s="478">
        <f>$H59*'Clés de répartition'!S$7</f>
        <v>3.1591890328827397</v>
      </c>
      <c r="L59" s="478">
        <f>$H59*'Clés de répartition'!T$7</f>
        <v>3.2807608104654995</v>
      </c>
      <c r="M59" s="312"/>
      <c r="N59" s="564"/>
      <c r="O59" s="312"/>
      <c r="P59" s="312"/>
      <c r="T59" s="9"/>
      <c r="U59" s="9"/>
      <c r="V59" s="9"/>
      <c r="W59" s="9"/>
      <c r="X59" s="9"/>
      <c r="Y59" s="9"/>
      <c r="Z59" s="9"/>
      <c r="AA59" s="9"/>
      <c r="AB59" s="9"/>
      <c r="AC59" s="9"/>
      <c r="AD59" s="9"/>
    </row>
    <row r="60" spans="1:30" ht="14.25" customHeight="1">
      <c r="A60" s="698"/>
      <c r="B60" s="195">
        <v>75021</v>
      </c>
      <c r="C60" s="193" t="s">
        <v>369</v>
      </c>
      <c r="D60" s="194" t="s">
        <v>347</v>
      </c>
      <c r="E60" s="529">
        <v>5571</v>
      </c>
      <c r="F60" s="257">
        <f t="shared" si="7"/>
        <v>1476.245075096796</v>
      </c>
      <c r="G60" s="257">
        <f t="shared" si="8"/>
        <v>2819.6820119351569</v>
      </c>
      <c r="H60" s="542">
        <f t="shared" si="9"/>
        <v>4295.9270870319524</v>
      </c>
      <c r="I60" s="478">
        <f>$H60*'Clés de répartition'!Q$7</f>
        <v>3674.1289556928218</v>
      </c>
      <c r="J60" s="478">
        <f>$H60*'Clés de répartition'!R$7</f>
        <v>398.95986688389485</v>
      </c>
      <c r="K60" s="478">
        <f>$H60*'Clés de répartition'!S$7</f>
        <v>109.31578945459465</v>
      </c>
      <c r="L60" s="478">
        <f>$H60*'Clés de répartition'!T$7</f>
        <v>113.52247500064158</v>
      </c>
      <c r="M60" s="312"/>
      <c r="N60" s="312"/>
      <c r="O60" s="312"/>
      <c r="P60" s="312"/>
      <c r="T60" s="9"/>
      <c r="U60" s="9"/>
      <c r="V60" s="9"/>
      <c r="W60" s="9"/>
      <c r="X60" s="9"/>
      <c r="Y60" s="9"/>
      <c r="Z60" s="9"/>
      <c r="AA60" s="9"/>
      <c r="AB60" s="9"/>
      <c r="AC60" s="9"/>
      <c r="AD60" s="9"/>
    </row>
    <row r="61" spans="1:30" ht="14.25" customHeight="1">
      <c r="A61" s="698"/>
      <c r="B61" s="195">
        <v>75040</v>
      </c>
      <c r="C61" s="193" t="s">
        <v>371</v>
      </c>
      <c r="D61" s="194" t="s">
        <v>347</v>
      </c>
      <c r="E61" s="529">
        <v>92</v>
      </c>
      <c r="F61" s="257">
        <f t="shared" si="7"/>
        <v>24.378845253797387</v>
      </c>
      <c r="G61" s="257">
        <f t="shared" si="8"/>
        <v>46.564484849763851</v>
      </c>
      <c r="H61" s="542">
        <f t="shared" si="9"/>
        <v>70.943330103561237</v>
      </c>
      <c r="I61" s="478">
        <f>$H61*'Clés de répartition'!Q$7</f>
        <v>60.674899286257336</v>
      </c>
      <c r="J61" s="478">
        <f>$H61*'Clés de répartition'!R$7</f>
        <v>6.5884594782477706</v>
      </c>
      <c r="K61" s="478">
        <f>$H61*'Clés de répartition'!S$7</f>
        <v>1.8052508759329939</v>
      </c>
      <c r="L61" s="478">
        <f>$H61*'Clés de répartition'!T$7</f>
        <v>1.8747204631231422</v>
      </c>
      <c r="M61" s="312"/>
      <c r="N61" s="312"/>
      <c r="O61" s="312"/>
      <c r="P61" s="312"/>
      <c r="T61" s="9"/>
      <c r="U61" s="9"/>
      <c r="V61" s="9"/>
      <c r="W61" s="9"/>
      <c r="X61" s="9"/>
      <c r="Y61" s="9"/>
      <c r="Z61" s="9"/>
      <c r="AA61" s="9"/>
      <c r="AB61" s="9"/>
      <c r="AC61" s="9"/>
      <c r="AD61" s="9"/>
    </row>
    <row r="62" spans="1:30" ht="14.25" customHeight="1">
      <c r="A62" s="698"/>
      <c r="B62" s="195">
        <v>75050</v>
      </c>
      <c r="C62" s="193" t="s">
        <v>54</v>
      </c>
      <c r="D62" s="194" t="s">
        <v>347</v>
      </c>
      <c r="E62" s="532">
        <v>9128</v>
      </c>
      <c r="F62" s="205">
        <f t="shared" si="7"/>
        <v>2418.8054290941582</v>
      </c>
      <c r="G62" s="205">
        <f t="shared" si="8"/>
        <v>4620.0067142243961</v>
      </c>
      <c r="H62" s="545">
        <f t="shared" si="9"/>
        <v>7038.8121433185543</v>
      </c>
      <c r="I62" s="206">
        <v>0</v>
      </c>
      <c r="J62" s="207">
        <f>H62</f>
        <v>7038.8121433185543</v>
      </c>
      <c r="K62" s="207">
        <v>0</v>
      </c>
      <c r="L62" s="207">
        <v>0</v>
      </c>
      <c r="M62" s="312"/>
      <c r="N62" s="312"/>
      <c r="O62" s="312"/>
      <c r="P62" s="312"/>
      <c r="T62" s="9"/>
      <c r="U62" s="9"/>
      <c r="V62" s="9"/>
      <c r="W62" s="9"/>
      <c r="X62" s="9"/>
      <c r="Y62" s="9"/>
      <c r="Z62" s="9"/>
      <c r="AA62" s="9"/>
      <c r="AB62" s="9"/>
      <c r="AC62" s="9"/>
      <c r="AD62" s="9"/>
    </row>
    <row r="63" spans="1:30" ht="14.25" customHeight="1">
      <c r="A63" s="698"/>
      <c r="B63" s="195">
        <v>75055</v>
      </c>
      <c r="C63" s="193" t="s">
        <v>372</v>
      </c>
      <c r="D63" s="194" t="s">
        <v>347</v>
      </c>
      <c r="E63" s="532">
        <v>310</v>
      </c>
      <c r="F63" s="205">
        <f t="shared" si="7"/>
        <v>82.146109007360764</v>
      </c>
      <c r="G63" s="205">
        <f t="shared" si="8"/>
        <v>156.90206851550863</v>
      </c>
      <c r="H63" s="545">
        <f t="shared" si="9"/>
        <v>239.04817752286939</v>
      </c>
      <c r="I63" s="206">
        <v>0</v>
      </c>
      <c r="J63" s="207">
        <f>H63</f>
        <v>239.04817752286939</v>
      </c>
      <c r="K63" s="207">
        <v>0</v>
      </c>
      <c r="L63" s="207">
        <v>0</v>
      </c>
      <c r="M63" s="312"/>
      <c r="N63" s="312"/>
      <c r="O63" s="312"/>
      <c r="P63" s="312"/>
      <c r="T63" s="9"/>
      <c r="U63" s="9"/>
      <c r="V63" s="9"/>
      <c r="W63" s="9"/>
      <c r="X63" s="9"/>
      <c r="Y63" s="9"/>
      <c r="Z63" s="9"/>
      <c r="AA63" s="9"/>
      <c r="AB63" s="9"/>
      <c r="AC63" s="9"/>
      <c r="AD63" s="9"/>
    </row>
    <row r="64" spans="1:30" ht="14.25" customHeight="1">
      <c r="A64" s="698"/>
      <c r="B64" s="195">
        <v>75059</v>
      </c>
      <c r="C64" s="193" t="s">
        <v>373</v>
      </c>
      <c r="D64" s="194" t="s">
        <v>347</v>
      </c>
      <c r="E64" s="531">
        <v>599</v>
      </c>
      <c r="F64" s="202">
        <f t="shared" si="7"/>
        <v>158.72748159809385</v>
      </c>
      <c r="G64" s="202">
        <f t="shared" si="8"/>
        <v>303.1752872283538</v>
      </c>
      <c r="H64" s="544">
        <f t="shared" si="9"/>
        <v>461.90276882644764</v>
      </c>
      <c r="I64" s="203">
        <f>H64</f>
        <v>461.90276882644764</v>
      </c>
      <c r="J64" s="204">
        <v>0</v>
      </c>
      <c r="K64" s="204">
        <v>0</v>
      </c>
      <c r="L64" s="204">
        <v>0</v>
      </c>
      <c r="M64" s="312"/>
      <c r="N64" s="312"/>
      <c r="O64" s="312"/>
      <c r="P64" s="312"/>
      <c r="T64" s="9"/>
      <c r="U64" s="9"/>
      <c r="V64" s="9"/>
      <c r="W64" s="9"/>
      <c r="X64" s="9"/>
      <c r="Y64" s="9"/>
      <c r="Z64" s="9"/>
      <c r="AA64" s="9"/>
      <c r="AB64" s="9"/>
      <c r="AC64" s="9"/>
      <c r="AD64" s="9"/>
    </row>
    <row r="65" spans="1:30" ht="15" customHeight="1">
      <c r="A65" s="708"/>
      <c r="B65" s="472">
        <v>75101</v>
      </c>
      <c r="C65" s="473" t="s">
        <v>66</v>
      </c>
      <c r="D65" s="474" t="s">
        <v>347</v>
      </c>
      <c r="E65" s="533">
        <v>1479</v>
      </c>
      <c r="F65" s="475">
        <f t="shared" si="7"/>
        <v>391.91643619963406</v>
      </c>
      <c r="G65" s="475">
        <f t="shared" si="8"/>
        <v>748.57470753044277</v>
      </c>
      <c r="H65" s="546">
        <f t="shared" si="9"/>
        <v>1140.4911437300768</v>
      </c>
      <c r="I65" s="480">
        <f>$H65*'Clés de répartition'!Q$7</f>
        <v>975.41495700407177</v>
      </c>
      <c r="J65" s="480">
        <f>$H65*'Clés de répartition'!R$7</f>
        <v>105.91664748183101</v>
      </c>
      <c r="K65" s="480">
        <f>$H65*'Clés de répartition'!S$7</f>
        <v>29.021370059835846</v>
      </c>
      <c r="L65" s="480">
        <f>$H65*'Clés de répartition'!T$7</f>
        <v>30.138169184338341</v>
      </c>
      <c r="M65" s="312"/>
      <c r="N65" s="312"/>
      <c r="O65" s="312"/>
      <c r="P65" s="312"/>
      <c r="T65" s="9"/>
      <c r="U65" s="9"/>
      <c r="V65" s="9"/>
      <c r="W65" s="9"/>
      <c r="X65" s="9"/>
      <c r="Y65" s="9"/>
      <c r="Z65" s="9"/>
      <c r="AA65" s="9"/>
      <c r="AB65" s="9"/>
      <c r="AC65" s="9"/>
      <c r="AD65" s="9"/>
    </row>
    <row r="66" spans="1:30" s="3" customFormat="1" ht="14.25" customHeight="1" thickBot="1">
      <c r="A66" s="235"/>
      <c r="B66" s="468"/>
      <c r="C66" s="469" t="s">
        <v>423</v>
      </c>
      <c r="D66" s="470"/>
      <c r="E66" s="534">
        <v>103531</v>
      </c>
      <c r="F66" s="471">
        <f t="shared" si="7"/>
        <v>27434.415521422794</v>
      </c>
      <c r="G66" s="471">
        <f t="shared" si="8"/>
        <v>52400.735662835883</v>
      </c>
      <c r="H66" s="547">
        <f t="shared" si="9"/>
        <v>79835.151184258677</v>
      </c>
      <c r="I66" s="471">
        <f>SUM(I46:I65)*(1-'Clés de répartition'!B299)</f>
        <v>31475.110081434665</v>
      </c>
      <c r="J66" s="471">
        <f>SUM(J46:J65)*'Clés de répartition'!F255*'Clés de répartition'!F269</f>
        <v>7000.4813593821009</v>
      </c>
      <c r="K66" s="471">
        <f>SUM(K46:K65)*'Clés de répartition'!B189</f>
        <v>22269.821128453121</v>
      </c>
      <c r="L66" s="471">
        <f t="shared" ref="L66" si="10">SUM(L46:L65)</f>
        <v>895.50170123688224</v>
      </c>
      <c r="M66" s="312"/>
      <c r="N66" s="312"/>
      <c r="O66" s="312"/>
      <c r="P66" s="312"/>
      <c r="T66" s="10"/>
      <c r="U66" s="10"/>
      <c r="V66" s="10"/>
      <c r="W66" s="10"/>
      <c r="X66" s="10"/>
      <c r="Y66" s="10"/>
      <c r="Z66" s="10"/>
      <c r="AA66" s="10"/>
      <c r="AB66" s="10"/>
      <c r="AC66" s="10"/>
      <c r="AD66" s="10"/>
    </row>
    <row r="67" spans="1:30" ht="14.25" customHeight="1">
      <c r="A67" s="707" t="s">
        <v>378</v>
      </c>
      <c r="B67" s="195">
        <v>46000</v>
      </c>
      <c r="C67" s="193" t="s">
        <v>374</v>
      </c>
      <c r="D67" s="194" t="s">
        <v>348</v>
      </c>
      <c r="E67" s="529">
        <v>45400</v>
      </c>
      <c r="F67" s="257">
        <f t="shared" si="7"/>
        <v>12030.430157852188</v>
      </c>
      <c r="G67" s="257">
        <f t="shared" si="8"/>
        <v>22978.561001948685</v>
      </c>
      <c r="H67" s="542">
        <f t="shared" si="9"/>
        <v>35008.991159800877</v>
      </c>
      <c r="I67" s="258">
        <f>$H67*'Clés de répartition'!Q$15</f>
        <v>29429.923387428553</v>
      </c>
      <c r="J67" s="258">
        <f>$H67*'Clés de répartition'!R$15</f>
        <v>3549.1581722261049</v>
      </c>
      <c r="K67" s="258">
        <f>$H67*'Clés de répartition'!S$15</f>
        <v>971.05265991511931</v>
      </c>
      <c r="L67" s="258">
        <f>$H67*'Clés de répartition'!T$15</f>
        <v>1058.8569402311027</v>
      </c>
      <c r="M67" s="430"/>
      <c r="N67" s="430"/>
      <c r="O67" s="430"/>
      <c r="P67" s="430"/>
      <c r="T67" s="9"/>
      <c r="U67" s="9"/>
      <c r="V67" s="9"/>
      <c r="W67" s="9"/>
      <c r="X67" s="9"/>
      <c r="Y67" s="9"/>
      <c r="Z67" s="9"/>
      <c r="AA67" s="9"/>
      <c r="AB67" s="9"/>
      <c r="AC67" s="9"/>
      <c r="AD67" s="9"/>
    </row>
    <row r="68" spans="1:30" ht="14.25" customHeight="1">
      <c r="A68" s="707"/>
      <c r="B68" s="195">
        <v>55856</v>
      </c>
      <c r="C68" s="193" t="s">
        <v>375</v>
      </c>
      <c r="D68" s="194" t="s">
        <v>348</v>
      </c>
      <c r="E68" s="535">
        <v>40000</v>
      </c>
      <c r="F68" s="218">
        <f t="shared" si="7"/>
        <v>10599.497936433647</v>
      </c>
      <c r="G68" s="218">
        <f t="shared" si="8"/>
        <v>20245.428195549503</v>
      </c>
      <c r="H68" s="548">
        <f t="shared" si="9"/>
        <v>30844.926131983149</v>
      </c>
      <c r="I68" s="219">
        <f>$H68*'Clés de répartition'!U$15</f>
        <v>29731.92802482277</v>
      </c>
      <c r="J68" s="219">
        <f>$H68*'Clés de répartition'!V$15</f>
        <v>346.19967803802098</v>
      </c>
      <c r="K68" s="219">
        <f>$H68*'Clés de répartition'!W$15</f>
        <v>766.79842912235881</v>
      </c>
      <c r="L68" s="219">
        <f>$H68*'Clés de répartition'!X$15</f>
        <v>0</v>
      </c>
      <c r="M68" s="430"/>
      <c r="N68" s="430"/>
      <c r="O68" s="430"/>
      <c r="P68" s="430"/>
      <c r="T68" s="9"/>
      <c r="U68" s="9"/>
      <c r="V68" s="9"/>
      <c r="W68" s="9"/>
      <c r="X68" s="9"/>
      <c r="Y68" s="9"/>
      <c r="Z68" s="9"/>
      <c r="AA68" s="9"/>
      <c r="AB68" s="9"/>
      <c r="AC68" s="9"/>
      <c r="AD68" s="9"/>
    </row>
    <row r="69" spans="1:30" ht="14.25" customHeight="1">
      <c r="A69" s="707"/>
      <c r="B69" s="195">
        <v>55857</v>
      </c>
      <c r="C69" s="193" t="s">
        <v>48</v>
      </c>
      <c r="D69" s="194" t="s">
        <v>348</v>
      </c>
      <c r="E69" s="535">
        <v>10000</v>
      </c>
      <c r="F69" s="218">
        <f t="shared" si="7"/>
        <v>2649.8744841084117</v>
      </c>
      <c r="G69" s="218">
        <f t="shared" si="8"/>
        <v>5061.3570488873756</v>
      </c>
      <c r="H69" s="548">
        <f t="shared" si="9"/>
        <v>7711.2315329957873</v>
      </c>
      <c r="I69" s="219">
        <f>$H69*'Clés de répartition'!U$15</f>
        <v>7432.9820062056924</v>
      </c>
      <c r="J69" s="219">
        <f>$H69*'Clés de répartition'!V$15</f>
        <v>86.549919509505244</v>
      </c>
      <c r="K69" s="219">
        <f>$H69*'Clés de répartition'!W$15</f>
        <v>191.6996072805897</v>
      </c>
      <c r="L69" s="219">
        <f>$H69*'Clés de répartition'!X$15</f>
        <v>0</v>
      </c>
      <c r="M69" s="430"/>
      <c r="N69" s="430"/>
      <c r="O69" s="430"/>
      <c r="P69" s="430"/>
      <c r="T69" s="9"/>
      <c r="U69" s="9"/>
      <c r="V69" s="9"/>
      <c r="W69" s="9"/>
      <c r="X69" s="9"/>
      <c r="Y69" s="9"/>
      <c r="Z69" s="9"/>
      <c r="AA69" s="9"/>
      <c r="AB69" s="9"/>
      <c r="AC69" s="9"/>
      <c r="AD69" s="9"/>
    </row>
    <row r="70" spans="1:30" ht="14.25" customHeight="1">
      <c r="A70" s="707"/>
      <c r="B70" s="195">
        <v>55859</v>
      </c>
      <c r="C70" s="193" t="s">
        <v>44</v>
      </c>
      <c r="D70" s="194" t="s">
        <v>348</v>
      </c>
      <c r="E70" s="529">
        <v>4500</v>
      </c>
      <c r="F70" s="257">
        <f t="shared" si="7"/>
        <v>1192.4435178487852</v>
      </c>
      <c r="G70" s="257">
        <f t="shared" si="8"/>
        <v>2277.610671999319</v>
      </c>
      <c r="H70" s="542">
        <f t="shared" si="9"/>
        <v>3470.0541898481042</v>
      </c>
      <c r="I70" s="258">
        <f>$H70*'Clés de répartition'!Q$15</f>
        <v>2917.0628908244157</v>
      </c>
      <c r="J70" s="258">
        <f>$H70*'Clés de répartition'!R$15</f>
        <v>351.78880561712486</v>
      </c>
      <c r="K70" s="258">
        <f>$H70*'Clés de répartition'!S$15</f>
        <v>96.249712987181425</v>
      </c>
      <c r="L70" s="258">
        <f>$H70*'Clés de répartition'!T$15</f>
        <v>104.95278041938242</v>
      </c>
      <c r="M70" s="430"/>
      <c r="N70" s="430"/>
      <c r="O70" s="430"/>
      <c r="P70" s="430"/>
      <c r="T70" s="9"/>
      <c r="U70" s="9"/>
      <c r="V70" s="9"/>
      <c r="W70" s="9"/>
      <c r="X70" s="9"/>
      <c r="Y70" s="9"/>
      <c r="Z70" s="9"/>
      <c r="AA70" s="9"/>
      <c r="AB70" s="9"/>
      <c r="AC70" s="9"/>
      <c r="AD70" s="9"/>
    </row>
    <row r="71" spans="1:30" ht="14.25" customHeight="1">
      <c r="A71" s="707"/>
      <c r="B71" s="195">
        <v>55861</v>
      </c>
      <c r="C71" s="193" t="s">
        <v>376</v>
      </c>
      <c r="D71" s="194" t="s">
        <v>348</v>
      </c>
      <c r="E71" s="535">
        <v>6500</v>
      </c>
      <c r="F71" s="218">
        <f t="shared" si="7"/>
        <v>1722.4184146704674</v>
      </c>
      <c r="G71" s="218">
        <f t="shared" si="8"/>
        <v>3289.8820817767942</v>
      </c>
      <c r="H71" s="548">
        <f t="shared" si="9"/>
        <v>5012.300496447262</v>
      </c>
      <c r="I71" s="219">
        <f>$H71*'Clés de répartition'!U$15</f>
        <v>4831.4383040336998</v>
      </c>
      <c r="J71" s="219">
        <f>$H71*'Clés de répartition'!V$15</f>
        <v>56.257447681178412</v>
      </c>
      <c r="K71" s="219">
        <f>$H71*'Clés de répartition'!W$15</f>
        <v>124.60474473238331</v>
      </c>
      <c r="L71" s="219">
        <f>$H71*'Clés de répartition'!X$15</f>
        <v>0</v>
      </c>
      <c r="M71" s="430"/>
      <c r="N71" s="430"/>
      <c r="O71" s="430"/>
      <c r="P71" s="430"/>
      <c r="T71" s="9"/>
      <c r="U71" s="9"/>
      <c r="V71" s="9"/>
      <c r="W71" s="9"/>
      <c r="X71" s="9"/>
      <c r="Y71" s="9"/>
      <c r="Z71" s="9"/>
      <c r="AA71" s="9"/>
      <c r="AB71" s="9"/>
      <c r="AC71" s="9"/>
      <c r="AD71" s="9"/>
    </row>
    <row r="72" spans="1:30" ht="14.25" customHeight="1">
      <c r="A72" s="707"/>
      <c r="B72" s="195">
        <v>55863</v>
      </c>
      <c r="C72" s="193" t="s">
        <v>45</v>
      </c>
      <c r="D72" s="194" t="s">
        <v>348</v>
      </c>
      <c r="E72" s="529">
        <v>6500</v>
      </c>
      <c r="F72" s="257">
        <f t="shared" si="7"/>
        <v>1722.4184146704674</v>
      </c>
      <c r="G72" s="257">
        <f t="shared" si="8"/>
        <v>3289.8820817767942</v>
      </c>
      <c r="H72" s="542">
        <f t="shared" si="9"/>
        <v>5012.300496447262</v>
      </c>
      <c r="I72" s="258">
        <f>$H72*'Clés de répartition'!Q$15</f>
        <v>4213.5352867463789</v>
      </c>
      <c r="J72" s="258">
        <f>$H72*'Clés de répartition'!R$15</f>
        <v>508.13938589140264</v>
      </c>
      <c r="K72" s="258">
        <f>$H72*'Clés de répartition'!S$15</f>
        <v>139.0273632037065</v>
      </c>
      <c r="L72" s="258">
        <f>$H72*'Clés de répartition'!T$15</f>
        <v>151.59846060577462</v>
      </c>
      <c r="M72" s="430"/>
      <c r="N72" s="430"/>
      <c r="O72" s="430"/>
      <c r="P72" s="430"/>
      <c r="T72" s="9"/>
      <c r="U72" s="9"/>
      <c r="V72" s="9"/>
      <c r="W72" s="9"/>
      <c r="X72" s="9"/>
      <c r="Y72" s="9"/>
      <c r="Z72" s="9"/>
      <c r="AA72" s="9"/>
      <c r="AB72" s="9"/>
      <c r="AC72" s="9"/>
      <c r="AD72" s="9"/>
    </row>
    <row r="73" spans="1:30" ht="14.25" customHeight="1">
      <c r="A73" s="707"/>
      <c r="B73" s="195">
        <v>58002</v>
      </c>
      <c r="C73" s="193" t="s">
        <v>46</v>
      </c>
      <c r="D73" s="194" t="s">
        <v>348</v>
      </c>
      <c r="E73" s="530">
        <v>2500</v>
      </c>
      <c r="F73" s="256">
        <f t="shared" si="7"/>
        <v>662.46862102710293</v>
      </c>
      <c r="G73" s="256">
        <f t="shared" si="8"/>
        <v>1265.3392622218439</v>
      </c>
      <c r="H73" s="543">
        <f t="shared" si="9"/>
        <v>1927.8078832489468</v>
      </c>
      <c r="I73" s="259">
        <f>$H73*'Clés de répartition'!AC$15</f>
        <v>1603.0088013582345</v>
      </c>
      <c r="J73" s="259">
        <f>$H73*'Clés de répartition'!AD$15</f>
        <v>193.3179272196555</v>
      </c>
      <c r="K73" s="259">
        <f>$H73*'Clés de répartition'!AE$15</f>
        <v>73.806624831989836</v>
      </c>
      <c r="L73" s="259">
        <f>$H73*'Clés de répartition'!AF$15</f>
        <v>57.674529839067134</v>
      </c>
      <c r="M73" s="430"/>
      <c r="N73" s="430"/>
      <c r="O73" s="430"/>
      <c r="P73" s="430"/>
      <c r="T73" s="9"/>
      <c r="U73" s="9"/>
      <c r="V73" s="9"/>
      <c r="W73" s="9"/>
      <c r="X73" s="9"/>
      <c r="Y73" s="9"/>
      <c r="Z73" s="9"/>
      <c r="AA73" s="9"/>
      <c r="AB73" s="9"/>
      <c r="AC73" s="9"/>
      <c r="AD73" s="9"/>
    </row>
    <row r="74" spans="1:30" ht="14.25" customHeight="1">
      <c r="A74" s="707"/>
      <c r="B74" s="195">
        <v>59028</v>
      </c>
      <c r="C74" s="193" t="s">
        <v>47</v>
      </c>
      <c r="D74" s="194" t="s">
        <v>348</v>
      </c>
      <c r="E74" s="530">
        <v>11000</v>
      </c>
      <c r="F74" s="256">
        <f t="shared" si="7"/>
        <v>2914.8619325192526</v>
      </c>
      <c r="G74" s="256">
        <f t="shared" si="8"/>
        <v>5567.4927537761132</v>
      </c>
      <c r="H74" s="543">
        <f t="shared" si="9"/>
        <v>8482.3546862953663</v>
      </c>
      <c r="I74" s="259">
        <f>$H74*'Clés de répartition'!AC$15</f>
        <v>7053.2387259762318</v>
      </c>
      <c r="J74" s="259">
        <f>$H74*'Clés de répartition'!AD$15</f>
        <v>850.59887976648429</v>
      </c>
      <c r="K74" s="259">
        <f>$H74*'Clés de répartition'!AE$15</f>
        <v>324.7491492607553</v>
      </c>
      <c r="L74" s="259">
        <f>$H74*'Clés de répartition'!AF$15</f>
        <v>253.76793129189537</v>
      </c>
      <c r="M74" s="430"/>
      <c r="N74" s="430"/>
      <c r="O74" s="430"/>
      <c r="P74" s="430"/>
      <c r="T74" s="9"/>
      <c r="U74" s="9"/>
      <c r="V74" s="9"/>
      <c r="W74" s="9"/>
      <c r="X74" s="9"/>
      <c r="Y74" s="9"/>
      <c r="Z74" s="9"/>
      <c r="AA74" s="9"/>
      <c r="AB74" s="9"/>
      <c r="AC74" s="9"/>
      <c r="AD74" s="9"/>
    </row>
    <row r="75" spans="1:30" ht="14.25" customHeight="1">
      <c r="A75" s="707"/>
      <c r="B75" s="195">
        <v>75056</v>
      </c>
      <c r="C75" s="193" t="s">
        <v>43</v>
      </c>
      <c r="D75" s="194" t="s">
        <v>348</v>
      </c>
      <c r="E75" s="529">
        <v>50</v>
      </c>
      <c r="F75" s="257">
        <f t="shared" si="7"/>
        <v>13.249372420542057</v>
      </c>
      <c r="G75" s="257">
        <f t="shared" si="8"/>
        <v>25.306785244436877</v>
      </c>
      <c r="H75" s="542">
        <f t="shared" si="9"/>
        <v>38.556157664978933</v>
      </c>
      <c r="I75" s="258">
        <f>$H75*'Clés de répartition'!Q$15</f>
        <v>32.411809898049064</v>
      </c>
      <c r="J75" s="258">
        <f>$H75*'Clés de répartition'!R$15</f>
        <v>3.9087645068569428</v>
      </c>
      <c r="K75" s="258">
        <f>$H75*'Clés de répartition'!S$15</f>
        <v>1.0694412554131267</v>
      </c>
      <c r="L75" s="258">
        <f>$H75*'Clés de répartition'!T$15</f>
        <v>1.1661420046598046</v>
      </c>
      <c r="M75" s="430"/>
      <c r="N75" s="430"/>
      <c r="O75" s="430"/>
      <c r="P75" s="430"/>
      <c r="T75" s="9"/>
      <c r="U75" s="9"/>
      <c r="V75" s="9"/>
      <c r="W75" s="9"/>
      <c r="X75" s="9"/>
      <c r="Y75" s="9"/>
      <c r="Z75" s="9"/>
      <c r="AA75" s="9"/>
      <c r="AB75" s="9"/>
      <c r="AC75" s="9"/>
      <c r="AD75" s="9"/>
    </row>
    <row r="76" spans="1:30" ht="14.25" customHeight="1">
      <c r="A76" s="638" t="s">
        <v>381</v>
      </c>
      <c r="B76" s="195">
        <v>36300</v>
      </c>
      <c r="C76" s="195" t="s">
        <v>895</v>
      </c>
      <c r="D76" s="195" t="s">
        <v>348</v>
      </c>
      <c r="E76" s="536">
        <v>875</v>
      </c>
      <c r="F76" s="195">
        <f t="shared" si="7"/>
        <v>231.86401735948601</v>
      </c>
      <c r="G76" s="195">
        <f t="shared" si="8"/>
        <v>442.86874177764537</v>
      </c>
      <c r="H76" s="549">
        <f t="shared" si="9"/>
        <v>674.73275913713132</v>
      </c>
      <c r="I76" s="507">
        <v>0</v>
      </c>
      <c r="J76" s="507">
        <v>0</v>
      </c>
      <c r="K76" s="507">
        <v>0</v>
      </c>
      <c r="L76" s="507">
        <v>0</v>
      </c>
      <c r="M76" s="430"/>
      <c r="N76" s="430"/>
      <c r="O76" s="430"/>
      <c r="P76" s="430"/>
      <c r="T76" s="9"/>
      <c r="U76" s="9"/>
      <c r="V76" s="9"/>
      <c r="W76" s="9"/>
      <c r="X76" s="9"/>
      <c r="Y76" s="9"/>
      <c r="Z76" s="9"/>
      <c r="AA76" s="9"/>
      <c r="AB76" s="9"/>
      <c r="AC76" s="9"/>
      <c r="AD76" s="9"/>
    </row>
    <row r="77" spans="1:30" ht="14.25" customHeight="1">
      <c r="A77" s="638"/>
      <c r="B77" s="195">
        <v>54100</v>
      </c>
      <c r="C77" s="195" t="s">
        <v>383</v>
      </c>
      <c r="D77" s="195" t="s">
        <v>348</v>
      </c>
      <c r="E77" s="537">
        <v>3000</v>
      </c>
      <c r="F77" s="258">
        <f t="shared" si="7"/>
        <v>794.96234523252349</v>
      </c>
      <c r="G77" s="258">
        <f t="shared" si="8"/>
        <v>1518.4071146662127</v>
      </c>
      <c r="H77" s="550">
        <f t="shared" si="9"/>
        <v>2313.3694598987363</v>
      </c>
      <c r="I77" s="258">
        <f>$H77*'Clés de répartition'!Q$15</f>
        <v>1944.7085938829441</v>
      </c>
      <c r="J77" s="258">
        <f>$H77*'Clés de répartition'!R$15</f>
        <v>234.52587041141661</v>
      </c>
      <c r="K77" s="258">
        <f>$H77*'Clés de répartition'!S$15</f>
        <v>64.166475324787612</v>
      </c>
      <c r="L77" s="258">
        <f>$H77*'Clés de répartition'!T$15</f>
        <v>69.96852027958829</v>
      </c>
      <c r="M77" s="430"/>
      <c r="N77" s="430"/>
      <c r="O77" s="430"/>
      <c r="P77" s="430"/>
      <c r="T77" s="9"/>
      <c r="U77" s="9"/>
      <c r="V77" s="9"/>
      <c r="W77" s="9"/>
      <c r="X77" s="9"/>
      <c r="Y77" s="9"/>
      <c r="Z77" s="9"/>
      <c r="AA77" s="9"/>
      <c r="AB77" s="9"/>
      <c r="AC77" s="9"/>
      <c r="AD77" s="9"/>
    </row>
    <row r="78" spans="1:30" ht="14.25" customHeight="1">
      <c r="A78" s="638"/>
      <c r="B78" s="195">
        <v>59000</v>
      </c>
      <c r="C78" s="193" t="s">
        <v>56</v>
      </c>
      <c r="D78" s="194" t="s">
        <v>348</v>
      </c>
      <c r="E78" s="530">
        <v>19500</v>
      </c>
      <c r="F78" s="256">
        <f t="shared" si="7"/>
        <v>5167.2552440114023</v>
      </c>
      <c r="G78" s="256">
        <f t="shared" si="8"/>
        <v>9869.6462453303811</v>
      </c>
      <c r="H78" s="543">
        <f t="shared" si="9"/>
        <v>15036.901489341784</v>
      </c>
      <c r="I78" s="259">
        <f>$H78*'Clés de répartition'!AC$15</f>
        <v>12503.468650594228</v>
      </c>
      <c r="J78" s="259">
        <f>$H78*'Clés de répartition'!AD$15</f>
        <v>1507.8798323133128</v>
      </c>
      <c r="K78" s="259">
        <f>$H78*'Clés de répartition'!AE$15</f>
        <v>575.69167368952071</v>
      </c>
      <c r="L78" s="259">
        <f>$H78*'Clés de répartition'!AF$15</f>
        <v>449.8613327447236</v>
      </c>
      <c r="M78" s="430"/>
      <c r="N78" s="430"/>
      <c r="O78" s="430"/>
      <c r="P78" s="430"/>
      <c r="T78" s="9"/>
      <c r="U78" s="9"/>
      <c r="V78" s="9"/>
      <c r="W78" s="9"/>
      <c r="X78" s="9"/>
      <c r="Y78" s="9"/>
      <c r="Z78" s="9"/>
      <c r="AA78" s="9"/>
      <c r="AB78" s="9"/>
      <c r="AC78" s="9"/>
      <c r="AD78" s="9"/>
    </row>
    <row r="79" spans="1:30" ht="14.25" customHeight="1">
      <c r="A79" s="638"/>
      <c r="B79" s="195">
        <v>59070</v>
      </c>
      <c r="C79" s="193" t="s">
        <v>57</v>
      </c>
      <c r="D79" s="194" t="s">
        <v>348</v>
      </c>
      <c r="E79" s="529">
        <v>56449</v>
      </c>
      <c r="F79" s="257">
        <f t="shared" si="7"/>
        <v>14958.276475343573</v>
      </c>
      <c r="G79" s="257">
        <f t="shared" si="8"/>
        <v>28570.854405264348</v>
      </c>
      <c r="H79" s="542">
        <f t="shared" si="9"/>
        <v>43529.130880607918</v>
      </c>
      <c r="I79" s="258">
        <f>$H79*'Clés de répartition'!Q$15</f>
        <v>36592.28513869943</v>
      </c>
      <c r="J79" s="258">
        <f>$H79*'Clés de répartition'!R$15</f>
        <v>4412.916952951352</v>
      </c>
      <c r="K79" s="258">
        <f>$H79*'Clés de répartition'!S$15</f>
        <v>1207.377788536312</v>
      </c>
      <c r="L79" s="258">
        <f>$H79*'Clés de répartition'!T$15</f>
        <v>1316.5510004208263</v>
      </c>
      <c r="M79" s="430"/>
      <c r="N79" s="430"/>
      <c r="O79" s="430"/>
      <c r="P79" s="430"/>
      <c r="T79" s="9"/>
      <c r="U79" s="9"/>
      <c r="V79" s="9"/>
      <c r="W79" s="9"/>
      <c r="X79" s="9"/>
      <c r="Y79" s="9"/>
      <c r="Z79" s="9"/>
      <c r="AA79" s="9"/>
      <c r="AB79" s="9"/>
      <c r="AC79" s="9"/>
      <c r="AD79" s="9"/>
    </row>
    <row r="80" spans="1:30" ht="14.25" customHeight="1">
      <c r="A80" s="638"/>
      <c r="B80" s="195">
        <v>59071</v>
      </c>
      <c r="C80" s="193" t="s">
        <v>58</v>
      </c>
      <c r="D80" s="194" t="s">
        <v>348</v>
      </c>
      <c r="E80" s="531">
        <v>19800</v>
      </c>
      <c r="F80" s="202">
        <f t="shared" si="7"/>
        <v>5246.7514785346548</v>
      </c>
      <c r="G80" s="202">
        <f t="shared" si="8"/>
        <v>10021.486956797002</v>
      </c>
      <c r="H80" s="544">
        <f t="shared" si="9"/>
        <v>15268.238435331656</v>
      </c>
      <c r="I80" s="203">
        <f>H80</f>
        <v>15268.238435331656</v>
      </c>
      <c r="J80" s="203">
        <v>0</v>
      </c>
      <c r="K80" s="203">
        <v>0</v>
      </c>
      <c r="L80" s="203">
        <v>0</v>
      </c>
      <c r="M80" s="430"/>
      <c r="N80" s="430"/>
      <c r="O80" s="430"/>
      <c r="P80" s="430"/>
      <c r="T80" s="9"/>
      <c r="U80" s="9"/>
      <c r="V80" s="9"/>
      <c r="W80" s="9"/>
      <c r="X80" s="9"/>
      <c r="Y80" s="9"/>
      <c r="Z80" s="9"/>
      <c r="AA80" s="9"/>
      <c r="AB80" s="9"/>
      <c r="AC80" s="9"/>
      <c r="AD80" s="9"/>
    </row>
    <row r="81" spans="1:30" ht="14.25" customHeight="1">
      <c r="A81" s="638"/>
      <c r="B81" s="195">
        <v>75100</v>
      </c>
      <c r="C81" s="193" t="s">
        <v>59</v>
      </c>
      <c r="D81" s="194" t="s">
        <v>348</v>
      </c>
      <c r="E81" s="531">
        <v>7500</v>
      </c>
      <c r="F81" s="202">
        <f t="shared" si="7"/>
        <v>1987.4058630813086</v>
      </c>
      <c r="G81" s="202">
        <f t="shared" si="8"/>
        <v>3796.0177866655317</v>
      </c>
      <c r="H81" s="544">
        <f t="shared" si="9"/>
        <v>5783.4236497468401</v>
      </c>
      <c r="I81" s="203">
        <f>H81</f>
        <v>5783.4236497468401</v>
      </c>
      <c r="J81" s="203">
        <v>0</v>
      </c>
      <c r="K81" s="203">
        <v>0</v>
      </c>
      <c r="L81" s="203">
        <v>0</v>
      </c>
      <c r="M81" s="430"/>
      <c r="N81" s="430"/>
      <c r="O81" s="430"/>
      <c r="P81" s="430"/>
      <c r="T81" s="9"/>
      <c r="U81" s="9"/>
      <c r="V81" s="9"/>
      <c r="W81" s="9"/>
      <c r="X81" s="9"/>
      <c r="Y81" s="9"/>
      <c r="Z81" s="9"/>
      <c r="AA81" s="9"/>
      <c r="AB81" s="9"/>
      <c r="AC81" s="9"/>
      <c r="AD81" s="9"/>
    </row>
    <row r="82" spans="1:30" ht="14.25" customHeight="1">
      <c r="A82" s="638"/>
      <c r="B82" s="195">
        <v>28039</v>
      </c>
      <c r="C82" s="193" t="s">
        <v>352</v>
      </c>
      <c r="D82" s="194" t="s">
        <v>348</v>
      </c>
      <c r="E82" s="529">
        <v>1303</v>
      </c>
      <c r="F82" s="257">
        <f t="shared" si="7"/>
        <v>345.27864527932604</v>
      </c>
      <c r="G82" s="257">
        <f t="shared" si="8"/>
        <v>659.49482347002493</v>
      </c>
      <c r="H82" s="542">
        <f t="shared" si="9"/>
        <v>1004.773468749351</v>
      </c>
      <c r="I82" s="258">
        <f>$H82*'Clés de répartition'!Q$15</f>
        <v>844.65176594315858</v>
      </c>
      <c r="J82" s="258">
        <f>$H82*'Clés de répartition'!R$15</f>
        <v>101.86240304869193</v>
      </c>
      <c r="K82" s="258">
        <f>$H82*'Clés de répartition'!S$15</f>
        <v>27.869639116066082</v>
      </c>
      <c r="L82" s="258">
        <f>$H82*'Clés de répartition'!T$15</f>
        <v>30.389660641434507</v>
      </c>
      <c r="M82" s="430"/>
      <c r="N82" s="430"/>
      <c r="O82" s="430"/>
      <c r="P82" s="430"/>
      <c r="T82" s="9"/>
      <c r="U82" s="9"/>
      <c r="V82" s="9"/>
      <c r="W82" s="9"/>
      <c r="X82" s="9"/>
      <c r="Y82" s="9"/>
      <c r="Z82" s="9"/>
      <c r="AA82" s="9"/>
      <c r="AB82" s="9"/>
      <c r="AC82" s="9"/>
      <c r="AD82" s="9"/>
    </row>
    <row r="83" spans="1:30" ht="14.25" customHeight="1">
      <c r="A83" s="638"/>
      <c r="B83" s="195">
        <v>28040</v>
      </c>
      <c r="C83" s="193" t="s">
        <v>353</v>
      </c>
      <c r="D83" s="194" t="s">
        <v>348</v>
      </c>
      <c r="E83" s="527">
        <v>3000</v>
      </c>
      <c r="F83" s="196">
        <f t="shared" si="7"/>
        <v>794.96234523252349</v>
      </c>
      <c r="G83" s="196">
        <f t="shared" si="8"/>
        <v>1518.4071146662127</v>
      </c>
      <c r="H83" s="540">
        <f t="shared" si="9"/>
        <v>2313.3694598987363</v>
      </c>
      <c r="I83" s="197">
        <v>0</v>
      </c>
      <c r="J83" s="199">
        <v>0</v>
      </c>
      <c r="K83" s="200">
        <f>H83</f>
        <v>2313.3694598987363</v>
      </c>
      <c r="L83" s="201">
        <v>0</v>
      </c>
      <c r="M83" s="430"/>
      <c r="N83" s="430"/>
      <c r="O83" s="430"/>
      <c r="P83" s="430"/>
      <c r="T83" s="9"/>
      <c r="U83" s="9"/>
      <c r="V83" s="9"/>
      <c r="W83" s="9"/>
      <c r="X83" s="9"/>
      <c r="Y83" s="9"/>
      <c r="Z83" s="9"/>
      <c r="AA83" s="9"/>
      <c r="AB83" s="9"/>
      <c r="AC83" s="9"/>
      <c r="AD83" s="9"/>
    </row>
    <row r="84" spans="1:30" ht="14.25" customHeight="1">
      <c r="A84" s="638"/>
      <c r="B84" s="195">
        <v>34265</v>
      </c>
      <c r="C84" s="193" t="s">
        <v>65</v>
      </c>
      <c r="D84" s="194" t="s">
        <v>348</v>
      </c>
      <c r="E84" s="529">
        <v>1080</v>
      </c>
      <c r="F84" s="257">
        <f t="shared" si="7"/>
        <v>286.18644428370845</v>
      </c>
      <c r="G84" s="257">
        <f t="shared" si="8"/>
        <v>546.62656127983655</v>
      </c>
      <c r="H84" s="542">
        <f t="shared" si="9"/>
        <v>832.81300556354495</v>
      </c>
      <c r="I84" s="258">
        <f>$H84*'Clés de répartition'!Q$15</f>
        <v>700.0950937978597</v>
      </c>
      <c r="J84" s="258">
        <f>$H84*'Clés de répartition'!R$15</f>
        <v>84.429313348109972</v>
      </c>
      <c r="K84" s="258">
        <f>$H84*'Clés de répartition'!S$15</f>
        <v>23.099931116923539</v>
      </c>
      <c r="L84" s="258">
        <f>$H84*'Clés de répartition'!T$15</f>
        <v>25.18866730065178</v>
      </c>
      <c r="M84" s="430"/>
      <c r="N84" s="430"/>
      <c r="O84" s="430"/>
      <c r="P84" s="430"/>
      <c r="T84" s="9"/>
      <c r="U84" s="9"/>
      <c r="V84" s="9"/>
      <c r="W84" s="9"/>
      <c r="X84" s="9"/>
      <c r="Y84" s="9"/>
      <c r="Z84" s="9"/>
      <c r="AA84" s="9"/>
      <c r="AB84" s="9"/>
      <c r="AC84" s="9"/>
      <c r="AD84" s="9"/>
    </row>
    <row r="85" spans="1:30" ht="14.25" customHeight="1">
      <c r="A85" s="638"/>
      <c r="B85" s="195">
        <v>36213</v>
      </c>
      <c r="C85" s="193" t="s">
        <v>355</v>
      </c>
      <c r="D85" s="194" t="s">
        <v>348</v>
      </c>
      <c r="E85" s="529">
        <v>2361</v>
      </c>
      <c r="F85" s="257">
        <f t="shared" si="7"/>
        <v>625.63536569799601</v>
      </c>
      <c r="G85" s="257">
        <f t="shared" si="8"/>
        <v>1194.9863992423093</v>
      </c>
      <c r="H85" s="542">
        <f t="shared" si="9"/>
        <v>1820.6217649403052</v>
      </c>
      <c r="I85" s="258">
        <f>$H85*'Clés de répartition'!Q$15</f>
        <v>1530.4856633858767</v>
      </c>
      <c r="J85" s="258">
        <f>$H85*'Clés de répartition'!R$15</f>
        <v>184.57186001378483</v>
      </c>
      <c r="K85" s="258">
        <f>$H85*'Clés de répartition'!S$15</f>
        <v>50.499016080607845</v>
      </c>
      <c r="L85" s="258">
        <f>$H85*'Clés de répartition'!T$15</f>
        <v>55.065225460035975</v>
      </c>
      <c r="M85" s="430"/>
      <c r="N85" s="430"/>
      <c r="O85" s="430"/>
      <c r="P85" s="430"/>
      <c r="T85" s="9"/>
      <c r="U85" s="9"/>
      <c r="V85" s="9"/>
      <c r="W85" s="9"/>
      <c r="X85" s="9"/>
      <c r="Y85" s="9"/>
      <c r="Z85" s="9"/>
      <c r="AA85" s="9"/>
      <c r="AB85" s="9"/>
      <c r="AC85" s="9"/>
      <c r="AD85" s="9"/>
    </row>
    <row r="86" spans="1:30" ht="14.25" customHeight="1">
      <c r="A86" s="638"/>
      <c r="B86" s="195">
        <v>39001</v>
      </c>
      <c r="C86" s="193" t="s">
        <v>50</v>
      </c>
      <c r="D86" s="194" t="s">
        <v>348</v>
      </c>
      <c r="E86" s="529">
        <v>9488</v>
      </c>
      <c r="F86" s="257">
        <f t="shared" si="7"/>
        <v>2514.2009105220609</v>
      </c>
      <c r="G86" s="257">
        <f t="shared" si="8"/>
        <v>4802.2155679843418</v>
      </c>
      <c r="H86" s="542">
        <f t="shared" si="9"/>
        <v>7316.4164785064022</v>
      </c>
      <c r="I86" s="258">
        <f>$H86*'Clés de répartition'!Q$15</f>
        <v>6150.4650462537902</v>
      </c>
      <c r="J86" s="258">
        <f>$H86*'Clés de répartition'!R$15</f>
        <v>741.72715282117349</v>
      </c>
      <c r="K86" s="258">
        <f>$H86*'Clés de répartition'!S$15</f>
        <v>202.93717262719494</v>
      </c>
      <c r="L86" s="258">
        <f>$H86*'Clés de répartition'!T$15</f>
        <v>221.28710680424453</v>
      </c>
      <c r="M86" s="430"/>
      <c r="N86" s="430"/>
      <c r="O86" s="430"/>
      <c r="P86" s="430"/>
      <c r="T86" s="9"/>
      <c r="U86" s="9"/>
      <c r="V86" s="9"/>
      <c r="W86" s="9"/>
      <c r="X86" s="9"/>
      <c r="Y86" s="9"/>
      <c r="Z86" s="9"/>
      <c r="AA86" s="9"/>
      <c r="AB86" s="9"/>
      <c r="AC86" s="9"/>
      <c r="AD86" s="9"/>
    </row>
    <row r="87" spans="1:30" ht="14.25" customHeight="1">
      <c r="A87" s="638"/>
      <c r="B87" s="195">
        <v>39710</v>
      </c>
      <c r="C87" s="193" t="s">
        <v>52</v>
      </c>
      <c r="D87" s="194" t="s">
        <v>348</v>
      </c>
      <c r="E87" s="531">
        <v>5522</v>
      </c>
      <c r="F87" s="202">
        <f t="shared" si="7"/>
        <v>1463.260690124665</v>
      </c>
      <c r="G87" s="202">
        <f t="shared" si="8"/>
        <v>2794.8813623956084</v>
      </c>
      <c r="H87" s="544">
        <f t="shared" si="9"/>
        <v>4258.1420525202739</v>
      </c>
      <c r="I87" s="203">
        <f>H87</f>
        <v>4258.1420525202739</v>
      </c>
      <c r="J87" s="208">
        <v>0</v>
      </c>
      <c r="K87" s="209">
        <v>0</v>
      </c>
      <c r="L87" s="210">
        <v>0</v>
      </c>
      <c r="M87" s="430"/>
      <c r="N87" s="430"/>
      <c r="O87" s="430"/>
      <c r="P87" s="430"/>
      <c r="T87" s="9"/>
      <c r="U87" s="9"/>
      <c r="V87" s="9"/>
      <c r="W87" s="9"/>
      <c r="X87" s="9"/>
      <c r="Y87" s="9"/>
      <c r="Z87" s="9"/>
      <c r="AA87" s="9"/>
      <c r="AB87" s="9"/>
      <c r="AC87" s="9"/>
      <c r="AD87" s="9"/>
    </row>
    <row r="88" spans="1:30" ht="14.25" customHeight="1">
      <c r="A88" s="638"/>
      <c r="B88" s="195">
        <v>40139</v>
      </c>
      <c r="C88" s="193" t="s">
        <v>356</v>
      </c>
      <c r="D88" s="194" t="s">
        <v>348</v>
      </c>
      <c r="E88" s="529">
        <v>21425</v>
      </c>
      <c r="F88" s="257">
        <f t="shared" si="7"/>
        <v>5677.3560822022719</v>
      </c>
      <c r="G88" s="257">
        <f t="shared" si="8"/>
        <v>10843.957477241202</v>
      </c>
      <c r="H88" s="542">
        <f t="shared" si="9"/>
        <v>16521.313559443472</v>
      </c>
      <c r="I88" s="258">
        <f>$H88*'Clés de répartition'!Q$15</f>
        <v>13888.460541314022</v>
      </c>
      <c r="J88" s="258">
        <f>$H88*'Clés de répartition'!R$15</f>
        <v>1674.9055911881999</v>
      </c>
      <c r="K88" s="258">
        <f>$H88*'Clés de répartition'!S$15</f>
        <v>458.25557794452482</v>
      </c>
      <c r="L88" s="258">
        <f>$H88*'Clés de répartition'!T$15</f>
        <v>499.69184899672621</v>
      </c>
      <c r="M88" s="430"/>
      <c r="N88" s="430"/>
      <c r="O88" s="430"/>
      <c r="P88" s="430"/>
      <c r="T88" s="9"/>
      <c r="U88" s="9"/>
      <c r="V88" s="9"/>
      <c r="W88" s="9"/>
      <c r="X88" s="9"/>
      <c r="Y88" s="9"/>
      <c r="Z88" s="9"/>
      <c r="AA88" s="9"/>
      <c r="AB88" s="9"/>
      <c r="AC88" s="9"/>
      <c r="AD88" s="9"/>
    </row>
    <row r="89" spans="1:30" ht="14.25" customHeight="1">
      <c r="A89" s="638"/>
      <c r="B89" s="195">
        <v>40170</v>
      </c>
      <c r="C89" s="193" t="s">
        <v>51</v>
      </c>
      <c r="D89" s="194" t="s">
        <v>348</v>
      </c>
      <c r="E89" s="529">
        <v>29211</v>
      </c>
      <c r="F89" s="257">
        <f t="shared" si="7"/>
        <v>7740.5483555290812</v>
      </c>
      <c r="G89" s="257">
        <f t="shared" si="8"/>
        <v>14784.730075504913</v>
      </c>
      <c r="H89" s="542">
        <f t="shared" si="9"/>
        <v>22525.278431033992</v>
      </c>
      <c r="I89" s="258">
        <f>$H89*'Clés de répartition'!Q$15</f>
        <v>18935.627578638225</v>
      </c>
      <c r="J89" s="258">
        <f>$H89*'Clés de répartition'!R$15</f>
        <v>2283.5784001959632</v>
      </c>
      <c r="K89" s="258">
        <f>$H89*'Clés de répartition'!S$15</f>
        <v>624.78897023745697</v>
      </c>
      <c r="L89" s="258">
        <f>$H89*'Clés de répartition'!T$15</f>
        <v>681.28348196235106</v>
      </c>
      <c r="M89" s="430"/>
      <c r="N89" s="430"/>
      <c r="O89" s="430"/>
      <c r="P89" s="430"/>
      <c r="T89" s="9"/>
      <c r="U89" s="9"/>
      <c r="V89" s="9"/>
      <c r="W89" s="9"/>
      <c r="X89" s="9"/>
      <c r="Y89" s="9"/>
      <c r="Z89" s="9"/>
      <c r="AA89" s="9"/>
      <c r="AB89" s="9"/>
      <c r="AC89" s="9"/>
      <c r="AD89" s="9"/>
    </row>
    <row r="90" spans="1:30" ht="14.25" customHeight="1">
      <c r="A90" s="638"/>
      <c r="B90" s="195">
        <v>40174</v>
      </c>
      <c r="C90" s="193" t="s">
        <v>357</v>
      </c>
      <c r="D90" s="194" t="s">
        <v>348</v>
      </c>
      <c r="E90" s="529">
        <v>6358</v>
      </c>
      <c r="F90" s="257">
        <f t="shared" si="7"/>
        <v>1684.7901969961281</v>
      </c>
      <c r="G90" s="257">
        <f t="shared" si="8"/>
        <v>3218.0108116825932</v>
      </c>
      <c r="H90" s="542">
        <f t="shared" si="9"/>
        <v>4902.8010086787217</v>
      </c>
      <c r="I90" s="258">
        <f>$H90*'Clés de répartition'!Q$15</f>
        <v>4121.485746635919</v>
      </c>
      <c r="J90" s="258">
        <f>$H90*'Clés de répartition'!R$15</f>
        <v>497.03849469192892</v>
      </c>
      <c r="K90" s="258">
        <f>$H90*'Clés de répartition'!S$15</f>
        <v>135.99015003833321</v>
      </c>
      <c r="L90" s="258">
        <f>$H90*'Clés de répartition'!T$15</f>
        <v>148.28661731254078</v>
      </c>
      <c r="M90" s="430"/>
      <c r="N90" s="430"/>
      <c r="O90" s="430"/>
      <c r="P90" s="430"/>
      <c r="T90" s="9"/>
      <c r="U90" s="9"/>
      <c r="V90" s="9"/>
      <c r="W90" s="9"/>
      <c r="X90" s="9"/>
      <c r="Y90" s="9"/>
      <c r="Z90" s="9"/>
      <c r="AA90" s="9"/>
      <c r="AB90" s="9"/>
      <c r="AC90" s="9"/>
      <c r="AD90" s="9"/>
    </row>
    <row r="91" spans="1:30" ht="14.25" customHeight="1">
      <c r="A91" s="638"/>
      <c r="B91" s="195">
        <v>40176</v>
      </c>
      <c r="C91" s="193" t="s">
        <v>358</v>
      </c>
      <c r="D91" s="194" t="s">
        <v>348</v>
      </c>
      <c r="E91" s="529">
        <v>10000</v>
      </c>
      <c r="F91" s="257">
        <f t="shared" si="7"/>
        <v>2649.8744841084117</v>
      </c>
      <c r="G91" s="257">
        <f t="shared" si="8"/>
        <v>5061.3570488873756</v>
      </c>
      <c r="H91" s="542">
        <f t="shared" si="9"/>
        <v>7711.2315329957873</v>
      </c>
      <c r="I91" s="258">
        <f>$H91*'Clés de répartition'!Q$15</f>
        <v>6482.3619796098128</v>
      </c>
      <c r="J91" s="258">
        <f>$H91*'Clés de répartition'!R$15</f>
        <v>781.7529013713887</v>
      </c>
      <c r="K91" s="258">
        <f>$H91*'Clés de répartition'!S$15</f>
        <v>213.88825108262537</v>
      </c>
      <c r="L91" s="258">
        <f>$H91*'Clés de répartition'!T$15</f>
        <v>233.22840093196095</v>
      </c>
      <c r="M91" s="430"/>
      <c r="N91" s="430"/>
      <c r="O91" s="430"/>
      <c r="P91" s="430"/>
      <c r="T91" s="9"/>
      <c r="U91" s="9"/>
      <c r="V91" s="9"/>
      <c r="W91" s="9"/>
      <c r="X91" s="9"/>
      <c r="Y91" s="9"/>
      <c r="Z91" s="9"/>
      <c r="AA91" s="9"/>
      <c r="AB91" s="9"/>
      <c r="AC91" s="9"/>
      <c r="AD91" s="9"/>
    </row>
    <row r="92" spans="1:30" ht="14.25" customHeight="1">
      <c r="A92" s="638"/>
      <c r="B92" s="195">
        <v>40177</v>
      </c>
      <c r="C92" s="193" t="s">
        <v>359</v>
      </c>
      <c r="D92" s="194" t="s">
        <v>348</v>
      </c>
      <c r="E92" s="529">
        <v>1616</v>
      </c>
      <c r="F92" s="257">
        <f t="shared" si="7"/>
        <v>428.21971663191931</v>
      </c>
      <c r="G92" s="257">
        <f t="shared" si="8"/>
        <v>817.91529910019983</v>
      </c>
      <c r="H92" s="542">
        <f t="shared" si="9"/>
        <v>1246.1350157321192</v>
      </c>
      <c r="I92" s="258">
        <f>$H92*'Clés de répartition'!Q$15</f>
        <v>1047.5496959049458</v>
      </c>
      <c r="J92" s="258">
        <f>$H92*'Clés de répartition'!R$15</f>
        <v>126.33126886161641</v>
      </c>
      <c r="K92" s="258">
        <f>$H92*'Clés de répartition'!S$15</f>
        <v>34.564341374952264</v>
      </c>
      <c r="L92" s="258">
        <f>$H92*'Clés de répartition'!T$15</f>
        <v>37.689709590604885</v>
      </c>
      <c r="M92" s="430"/>
      <c r="N92" s="430"/>
      <c r="O92" s="430"/>
      <c r="P92" s="430"/>
      <c r="T92" s="9"/>
      <c r="U92" s="9"/>
      <c r="V92" s="9"/>
      <c r="W92" s="9"/>
      <c r="X92" s="9"/>
      <c r="Y92" s="9"/>
      <c r="Z92" s="9"/>
      <c r="AA92" s="9"/>
      <c r="AB92" s="9"/>
      <c r="AC92" s="9"/>
      <c r="AD92" s="9"/>
    </row>
    <row r="93" spans="1:30" ht="14.25" customHeight="1">
      <c r="A93" s="638"/>
      <c r="B93" s="195">
        <v>40182</v>
      </c>
      <c r="C93" s="193" t="s">
        <v>360</v>
      </c>
      <c r="D93" s="194" t="s">
        <v>348</v>
      </c>
      <c r="E93" s="529">
        <v>3908</v>
      </c>
      <c r="F93" s="257">
        <f t="shared" si="7"/>
        <v>1035.5709483895673</v>
      </c>
      <c r="G93" s="257">
        <f t="shared" si="8"/>
        <v>1977.9783347051862</v>
      </c>
      <c r="H93" s="542">
        <f t="shared" si="9"/>
        <v>3013.5492830947533</v>
      </c>
      <c r="I93" s="258">
        <f>$H93*'Clés de répartition'!Q$15</f>
        <v>2533.3070616315144</v>
      </c>
      <c r="J93" s="258">
        <f>$H93*'Clés de répartition'!R$15</f>
        <v>305.50903385593864</v>
      </c>
      <c r="K93" s="258">
        <f>$H93*'Clés de répartition'!S$15</f>
        <v>83.587528523089986</v>
      </c>
      <c r="L93" s="258">
        <f>$H93*'Clés de répartition'!T$15</f>
        <v>91.145659084210322</v>
      </c>
      <c r="M93" s="430"/>
      <c r="N93" s="430"/>
      <c r="O93" s="430"/>
      <c r="P93" s="430"/>
      <c r="T93" s="9"/>
      <c r="U93" s="9"/>
      <c r="V93" s="9"/>
      <c r="W93" s="9"/>
      <c r="X93" s="9"/>
      <c r="Y93" s="9"/>
      <c r="Z93" s="9"/>
      <c r="AA93" s="9"/>
      <c r="AB93" s="9"/>
      <c r="AC93" s="9"/>
      <c r="AD93" s="9"/>
    </row>
    <row r="94" spans="1:30" ht="14.25" customHeight="1">
      <c r="A94" s="638"/>
      <c r="B94" s="195">
        <v>40504</v>
      </c>
      <c r="C94" s="193" t="s">
        <v>63</v>
      </c>
      <c r="D94" s="194" t="s">
        <v>348</v>
      </c>
      <c r="E94" s="529">
        <v>7909</v>
      </c>
      <c r="F94" s="257">
        <f t="shared" si="7"/>
        <v>2095.7857294813425</v>
      </c>
      <c r="G94" s="257">
        <f t="shared" si="8"/>
        <v>4003.0272899650249</v>
      </c>
      <c r="H94" s="542">
        <f t="shared" si="9"/>
        <v>6098.8130194463674</v>
      </c>
      <c r="I94" s="258">
        <f>$H94*'Clés de répartition'!Q$15</f>
        <v>5126.9000896734005</v>
      </c>
      <c r="J94" s="258">
        <f>$H94*'Clés de répartition'!R$15</f>
        <v>618.28836969463123</v>
      </c>
      <c r="K94" s="258">
        <f>$H94*'Clés de répartition'!S$15</f>
        <v>169.1642177812484</v>
      </c>
      <c r="L94" s="258">
        <f>$H94*'Clés de répartition'!T$15</f>
        <v>184.46034229708789</v>
      </c>
      <c r="M94" s="430"/>
      <c r="N94" s="430"/>
      <c r="O94" s="430"/>
      <c r="P94" s="430"/>
      <c r="T94" s="9"/>
      <c r="U94" s="9"/>
      <c r="V94" s="9"/>
      <c r="W94" s="9"/>
      <c r="X94" s="9"/>
      <c r="Y94" s="9"/>
      <c r="Z94" s="9"/>
      <c r="AA94" s="9"/>
      <c r="AB94" s="9"/>
      <c r="AC94" s="9"/>
      <c r="AD94" s="9"/>
    </row>
    <row r="95" spans="1:30" ht="14.25" customHeight="1">
      <c r="A95" s="638"/>
      <c r="B95" s="195">
        <v>46101</v>
      </c>
      <c r="C95" s="193" t="s">
        <v>60</v>
      </c>
      <c r="D95" s="194" t="s">
        <v>348</v>
      </c>
      <c r="E95" s="529">
        <v>32742</v>
      </c>
      <c r="F95" s="257">
        <f t="shared" si="7"/>
        <v>8676.2190358677617</v>
      </c>
      <c r="G95" s="257">
        <f t="shared" si="8"/>
        <v>16571.895249467045</v>
      </c>
      <c r="H95" s="542">
        <f t="shared" si="9"/>
        <v>25248.114285334806</v>
      </c>
      <c r="I95" s="258">
        <f>$H95*'Clés de répartition'!Q$15</f>
        <v>21224.54959363845</v>
      </c>
      <c r="J95" s="258">
        <f>$H95*'Clés de répartition'!R$15</f>
        <v>2559.6153496702009</v>
      </c>
      <c r="K95" s="258">
        <f>$H95*'Clés de répartition'!S$15</f>
        <v>700.31291169473195</v>
      </c>
      <c r="L95" s="258">
        <f>$H95*'Clés de répartition'!T$15</f>
        <v>763.63643033142648</v>
      </c>
      <c r="M95" s="430"/>
      <c r="N95" s="430"/>
      <c r="O95" s="430"/>
      <c r="P95" s="430"/>
      <c r="T95" s="9"/>
      <c r="U95" s="9"/>
      <c r="V95" s="9"/>
      <c r="W95" s="9"/>
      <c r="X95" s="9"/>
      <c r="Y95" s="9"/>
      <c r="Z95" s="9"/>
      <c r="AA95" s="9"/>
      <c r="AB95" s="9"/>
      <c r="AC95" s="9"/>
      <c r="AD95" s="9"/>
    </row>
    <row r="96" spans="1:30" ht="14.25" customHeight="1">
      <c r="A96" s="638"/>
      <c r="B96" s="195">
        <v>48042</v>
      </c>
      <c r="C96" s="193" t="s">
        <v>361</v>
      </c>
      <c r="D96" s="194" t="s">
        <v>348</v>
      </c>
      <c r="E96" s="527">
        <v>50</v>
      </c>
      <c r="F96" s="196">
        <f t="shared" si="7"/>
        <v>13.249372420542057</v>
      </c>
      <c r="G96" s="196">
        <f t="shared" si="8"/>
        <v>25.306785244436877</v>
      </c>
      <c r="H96" s="540">
        <f t="shared" si="9"/>
        <v>38.556157664978933</v>
      </c>
      <c r="I96" s="197">
        <v>0</v>
      </c>
      <c r="J96" s="198">
        <v>0</v>
      </c>
      <c r="K96" s="198">
        <f>H96</f>
        <v>38.556157664978933</v>
      </c>
      <c r="L96" s="198">
        <v>0</v>
      </c>
      <c r="M96" s="430"/>
      <c r="N96" s="430"/>
      <c r="O96" s="430"/>
      <c r="P96" s="430"/>
      <c r="T96" s="9"/>
      <c r="U96" s="9"/>
      <c r="V96" s="9"/>
      <c r="W96" s="9"/>
      <c r="X96" s="9"/>
      <c r="Y96" s="9"/>
      <c r="Z96" s="9"/>
      <c r="AA96" s="9"/>
      <c r="AB96" s="9"/>
      <c r="AC96" s="9"/>
      <c r="AD96" s="9"/>
    </row>
    <row r="97" spans="1:30" ht="14.25" customHeight="1">
      <c r="A97" s="638"/>
      <c r="B97" s="195">
        <v>48045</v>
      </c>
      <c r="C97" s="193" t="s">
        <v>362</v>
      </c>
      <c r="D97" s="194" t="s">
        <v>348</v>
      </c>
      <c r="E97" s="566">
        <v>1570</v>
      </c>
      <c r="F97" s="567">
        <f t="shared" si="7"/>
        <v>416.03029400502061</v>
      </c>
      <c r="G97" s="567">
        <f t="shared" si="8"/>
        <v>794.63305667531802</v>
      </c>
      <c r="H97" s="568">
        <f t="shared" si="9"/>
        <v>1210.6633506803387</v>
      </c>
      <c r="I97" s="569">
        <v>0</v>
      </c>
      <c r="J97" s="571">
        <f>H97*0.75</f>
        <v>907.99751301025401</v>
      </c>
      <c r="K97" s="572">
        <f>H97*0.25</f>
        <v>302.66583767008467</v>
      </c>
      <c r="L97" s="570">
        <v>0</v>
      </c>
      <c r="M97" s="430"/>
      <c r="N97" s="430"/>
      <c r="O97" s="430"/>
      <c r="P97" s="430"/>
      <c r="T97" s="9"/>
      <c r="U97" s="9"/>
      <c r="V97" s="9"/>
      <c r="W97" s="9"/>
      <c r="X97" s="9"/>
      <c r="Y97" s="9"/>
      <c r="Z97" s="9"/>
      <c r="AA97" s="9"/>
      <c r="AB97" s="9"/>
      <c r="AC97" s="9"/>
      <c r="AD97" s="9"/>
    </row>
    <row r="98" spans="1:30" ht="14.25" customHeight="1">
      <c r="A98" s="638"/>
      <c r="B98" s="195">
        <v>48046</v>
      </c>
      <c r="C98" s="193" t="s">
        <v>55</v>
      </c>
      <c r="D98" s="194" t="s">
        <v>348</v>
      </c>
      <c r="E98" s="527">
        <v>333</v>
      </c>
      <c r="F98" s="196">
        <f t="shared" si="7"/>
        <v>88.240820320810101</v>
      </c>
      <c r="G98" s="196">
        <f t="shared" si="8"/>
        <v>168.5431897279496</v>
      </c>
      <c r="H98" s="540">
        <f t="shared" si="9"/>
        <v>256.78401004875968</v>
      </c>
      <c r="I98" s="197">
        <v>0</v>
      </c>
      <c r="J98" s="198">
        <v>0</v>
      </c>
      <c r="K98" s="198">
        <f>H98</f>
        <v>256.78401004875968</v>
      </c>
      <c r="L98" s="198">
        <v>0</v>
      </c>
      <c r="M98" s="430"/>
      <c r="N98" s="430"/>
      <c r="O98" s="430"/>
      <c r="P98" s="430"/>
      <c r="T98" s="9"/>
      <c r="U98" s="9"/>
      <c r="V98" s="9"/>
      <c r="W98" s="9"/>
      <c r="X98" s="9"/>
      <c r="Y98" s="9"/>
      <c r="Z98" s="9"/>
      <c r="AA98" s="9"/>
      <c r="AB98" s="9"/>
      <c r="AC98" s="9"/>
      <c r="AD98" s="9"/>
    </row>
    <row r="99" spans="1:30" ht="14.25" customHeight="1">
      <c r="A99" s="638"/>
      <c r="B99" s="195">
        <v>48047</v>
      </c>
      <c r="C99" s="193" t="s">
        <v>363</v>
      </c>
      <c r="D99" s="194" t="s">
        <v>348</v>
      </c>
      <c r="E99" s="529">
        <v>50</v>
      </c>
      <c r="F99" s="257">
        <f t="shared" si="7"/>
        <v>13.249372420542057</v>
      </c>
      <c r="G99" s="257">
        <f t="shared" si="8"/>
        <v>25.306785244436877</v>
      </c>
      <c r="H99" s="542">
        <f t="shared" si="9"/>
        <v>38.556157664978933</v>
      </c>
      <c r="I99" s="258">
        <f>$H99*'Clés de répartition'!Q$15</f>
        <v>32.411809898049064</v>
      </c>
      <c r="J99" s="258">
        <f>$H99*'Clés de répartition'!R$15</f>
        <v>3.9087645068569428</v>
      </c>
      <c r="K99" s="258">
        <f>$H99*'Clés de répartition'!S$15</f>
        <v>1.0694412554131267</v>
      </c>
      <c r="L99" s="258">
        <f>$H99*'Clés de répartition'!T$15</f>
        <v>1.1661420046598046</v>
      </c>
      <c r="M99" s="430"/>
      <c r="N99" s="430"/>
      <c r="O99" s="430"/>
      <c r="P99" s="430"/>
      <c r="T99" s="9"/>
      <c r="U99" s="9"/>
      <c r="V99" s="9"/>
      <c r="W99" s="9"/>
      <c r="X99" s="9"/>
      <c r="Y99" s="9"/>
      <c r="Z99" s="9"/>
      <c r="AA99" s="9"/>
      <c r="AB99" s="9"/>
      <c r="AC99" s="9"/>
      <c r="AD99" s="9"/>
    </row>
    <row r="100" spans="1:30" ht="14.25" customHeight="1">
      <c r="A100" s="638"/>
      <c r="B100" s="195">
        <v>54102</v>
      </c>
      <c r="C100" s="193" t="s">
        <v>364</v>
      </c>
      <c r="D100" s="194" t="s">
        <v>348</v>
      </c>
      <c r="E100" s="529">
        <v>500</v>
      </c>
      <c r="F100" s="257">
        <f t="shared" si="7"/>
        <v>132.49372420542056</v>
      </c>
      <c r="G100" s="257">
        <f t="shared" si="8"/>
        <v>253.06785244436878</v>
      </c>
      <c r="H100" s="542">
        <f t="shared" si="9"/>
        <v>385.56157664978934</v>
      </c>
      <c r="I100" s="258">
        <f>$H100*'Clés de répartition'!Q$15</f>
        <v>324.11809898049063</v>
      </c>
      <c r="J100" s="258">
        <f>$H100*'Clés de répartition'!R$15</f>
        <v>39.087645068569429</v>
      </c>
      <c r="K100" s="258">
        <f>$H100*'Clés de répartition'!S$15</f>
        <v>10.694412554131269</v>
      </c>
      <c r="L100" s="258">
        <f>$H100*'Clés de répartition'!T$15</f>
        <v>11.661420046598046</v>
      </c>
      <c r="M100" s="430"/>
      <c r="N100" s="430"/>
      <c r="O100" s="430"/>
      <c r="P100" s="430"/>
      <c r="T100" s="9"/>
      <c r="U100" s="9"/>
      <c r="V100" s="9"/>
      <c r="W100" s="9"/>
      <c r="X100" s="9"/>
      <c r="Y100" s="9"/>
      <c r="Z100" s="9"/>
      <c r="AA100" s="9"/>
      <c r="AB100" s="9"/>
      <c r="AC100" s="9"/>
      <c r="AD100" s="9"/>
    </row>
    <row r="101" spans="1:30" ht="14.25" customHeight="1">
      <c r="A101" s="638"/>
      <c r="B101" s="195">
        <v>54104</v>
      </c>
      <c r="C101" s="193" t="s">
        <v>365</v>
      </c>
      <c r="D101" s="194" t="s">
        <v>348</v>
      </c>
      <c r="E101" s="529">
        <v>500</v>
      </c>
      <c r="F101" s="257">
        <f t="shared" si="7"/>
        <v>132.49372420542056</v>
      </c>
      <c r="G101" s="257">
        <f t="shared" si="8"/>
        <v>253.06785244436878</v>
      </c>
      <c r="H101" s="542">
        <f t="shared" si="9"/>
        <v>385.56157664978934</v>
      </c>
      <c r="I101" s="258">
        <f>$H101*'Clés de répartition'!Q$15</f>
        <v>324.11809898049063</v>
      </c>
      <c r="J101" s="258">
        <f>$H101*'Clés de répartition'!R$15</f>
        <v>39.087645068569429</v>
      </c>
      <c r="K101" s="258">
        <f>$H101*'Clés de répartition'!S$15</f>
        <v>10.694412554131269</v>
      </c>
      <c r="L101" s="258">
        <f>$H101*'Clés de répartition'!T$15</f>
        <v>11.661420046598046</v>
      </c>
      <c r="M101" s="430"/>
      <c r="N101" s="430"/>
      <c r="O101" s="430"/>
      <c r="P101" s="430"/>
      <c r="T101" s="9"/>
      <c r="U101" s="9"/>
      <c r="V101" s="9"/>
      <c r="W101" s="9"/>
      <c r="X101" s="9"/>
      <c r="Y101" s="9"/>
      <c r="Z101" s="9"/>
      <c r="AA101" s="9"/>
      <c r="AB101" s="9"/>
      <c r="AC101" s="9"/>
      <c r="AD101" s="9"/>
    </row>
    <row r="102" spans="1:30" ht="14.25" customHeight="1">
      <c r="A102" s="638"/>
      <c r="B102" s="195">
        <v>68030</v>
      </c>
      <c r="C102" s="193" t="s">
        <v>61</v>
      </c>
      <c r="D102" s="194" t="s">
        <v>348</v>
      </c>
      <c r="E102" s="529">
        <v>600</v>
      </c>
      <c r="F102" s="257">
        <f t="shared" si="7"/>
        <v>158.99246904650468</v>
      </c>
      <c r="G102" s="257">
        <f t="shared" si="8"/>
        <v>303.68142293324252</v>
      </c>
      <c r="H102" s="542">
        <f t="shared" si="9"/>
        <v>462.67389197974717</v>
      </c>
      <c r="I102" s="258">
        <f>$H102*'Clés de répartition'!Q$15</f>
        <v>388.94171877658874</v>
      </c>
      <c r="J102" s="258">
        <f>$H102*'Clés de répartition'!R$15</f>
        <v>46.90517408228331</v>
      </c>
      <c r="K102" s="258">
        <f>$H102*'Clés de répartition'!S$15</f>
        <v>12.83329506495752</v>
      </c>
      <c r="L102" s="258">
        <f>$H102*'Clés de répartition'!T$15</f>
        <v>13.993704055917654</v>
      </c>
      <c r="M102" s="430"/>
      <c r="N102" s="430"/>
      <c r="O102" s="430"/>
      <c r="P102" s="430"/>
      <c r="T102" s="9"/>
      <c r="U102" s="9"/>
      <c r="V102" s="9"/>
      <c r="W102" s="9"/>
      <c r="X102" s="9"/>
      <c r="Y102" s="9"/>
      <c r="Z102" s="9"/>
      <c r="AA102" s="9"/>
      <c r="AB102" s="9"/>
      <c r="AC102" s="9"/>
      <c r="AD102" s="9"/>
    </row>
    <row r="103" spans="1:30" ht="14.25" customHeight="1">
      <c r="A103" s="638"/>
      <c r="B103" s="195">
        <v>68035</v>
      </c>
      <c r="C103" s="193" t="s">
        <v>367</v>
      </c>
      <c r="D103" s="194" t="s">
        <v>348</v>
      </c>
      <c r="E103" s="529">
        <v>8438</v>
      </c>
      <c r="F103" s="257">
        <f t="shared" si="7"/>
        <v>2235.9640896906776</v>
      </c>
      <c r="G103" s="257">
        <f t="shared" si="8"/>
        <v>4270.7730778511677</v>
      </c>
      <c r="H103" s="542">
        <f t="shared" si="9"/>
        <v>6506.7371675418453</v>
      </c>
      <c r="I103" s="258">
        <f>$H103*'Clés de répartition'!Q$15</f>
        <v>5469.8170383947599</v>
      </c>
      <c r="J103" s="258">
        <f>$H103*'Clés de répartition'!R$15</f>
        <v>659.64309817717776</v>
      </c>
      <c r="K103" s="258">
        <f>$H103*'Clés de répartition'!S$15</f>
        <v>180.47890626351929</v>
      </c>
      <c r="L103" s="258">
        <f>$H103*'Clés de répartition'!T$15</f>
        <v>196.79812470638865</v>
      </c>
      <c r="M103" s="430"/>
      <c r="N103" s="430"/>
      <c r="O103" s="430"/>
      <c r="P103" s="430"/>
      <c r="T103" s="9"/>
      <c r="U103" s="9"/>
      <c r="V103" s="9"/>
      <c r="W103" s="9"/>
      <c r="X103" s="9"/>
      <c r="Y103" s="9"/>
      <c r="Z103" s="9"/>
      <c r="AA103" s="9"/>
      <c r="AB103" s="9"/>
      <c r="AC103" s="9"/>
      <c r="AD103" s="9"/>
    </row>
    <row r="104" spans="1:30" ht="14.25" customHeight="1">
      <c r="A104" s="638"/>
      <c r="B104" s="195">
        <v>68067</v>
      </c>
      <c r="C104" s="193" t="s">
        <v>64</v>
      </c>
      <c r="D104" s="194" t="s">
        <v>348</v>
      </c>
      <c r="E104" s="529">
        <v>7760</v>
      </c>
      <c r="F104" s="257">
        <f t="shared" si="7"/>
        <v>2056.3025996681272</v>
      </c>
      <c r="G104" s="257">
        <f t="shared" si="8"/>
        <v>3927.6130699366031</v>
      </c>
      <c r="H104" s="542">
        <f t="shared" si="9"/>
        <v>5983.9156696047303</v>
      </c>
      <c r="I104" s="258">
        <f>$H104*'Clés de répartition'!Q$15</f>
        <v>5030.3128961772145</v>
      </c>
      <c r="J104" s="258">
        <f>$H104*'Clés de répartition'!R$15</f>
        <v>606.64025146419749</v>
      </c>
      <c r="K104" s="258">
        <f>$H104*'Clés de répartition'!S$15</f>
        <v>165.97728284011728</v>
      </c>
      <c r="L104" s="258">
        <f>$H104*'Clés de répartition'!T$15</f>
        <v>180.98523912320167</v>
      </c>
      <c r="M104" s="430"/>
      <c r="N104" s="430"/>
      <c r="O104" s="430"/>
      <c r="P104" s="430"/>
      <c r="T104" s="9"/>
      <c r="U104" s="9"/>
      <c r="V104" s="9"/>
      <c r="W104" s="9"/>
      <c r="X104" s="9"/>
      <c r="Y104" s="9"/>
      <c r="Z104" s="9"/>
      <c r="AA104" s="9"/>
      <c r="AB104" s="9"/>
      <c r="AC104" s="9"/>
      <c r="AD104" s="9"/>
    </row>
    <row r="105" spans="1:30" ht="14.25" customHeight="1">
      <c r="A105" s="638"/>
      <c r="B105" s="195">
        <v>75007</v>
      </c>
      <c r="C105" s="193" t="s">
        <v>53</v>
      </c>
      <c r="D105" s="194" t="s">
        <v>348</v>
      </c>
      <c r="E105" s="532">
        <v>20801</v>
      </c>
      <c r="F105" s="205">
        <f t="shared" si="7"/>
        <v>5512.0039143939066</v>
      </c>
      <c r="G105" s="205">
        <f t="shared" si="8"/>
        <v>10528.128797390629</v>
      </c>
      <c r="H105" s="545">
        <f t="shared" si="9"/>
        <v>16040.132711784536</v>
      </c>
      <c r="I105" s="206">
        <v>0</v>
      </c>
      <c r="J105" s="211">
        <f>H105</f>
        <v>16040.132711784536</v>
      </c>
      <c r="K105" s="212">
        <v>0</v>
      </c>
      <c r="L105" s="213">
        <v>0</v>
      </c>
      <c r="M105" s="430"/>
      <c r="N105" s="430"/>
      <c r="O105" s="430"/>
      <c r="P105" s="430"/>
      <c r="T105" s="9"/>
      <c r="U105" s="9"/>
      <c r="V105" s="9"/>
      <c r="W105" s="9"/>
      <c r="X105" s="9"/>
      <c r="Y105" s="9"/>
      <c r="Z105" s="9"/>
      <c r="AA105" s="9"/>
      <c r="AB105" s="9"/>
      <c r="AC105" s="9"/>
      <c r="AD105" s="9"/>
    </row>
    <row r="106" spans="1:30" ht="14.25" customHeight="1">
      <c r="A106" s="638"/>
      <c r="B106" s="195">
        <v>75015</v>
      </c>
      <c r="C106" s="193" t="s">
        <v>368</v>
      </c>
      <c r="D106" s="194" t="s">
        <v>348</v>
      </c>
      <c r="E106" s="529">
        <v>1901</v>
      </c>
      <c r="F106" s="257">
        <f t="shared" si="7"/>
        <v>503.74113942900902</v>
      </c>
      <c r="G106" s="257">
        <f t="shared" si="8"/>
        <v>962.16397499349011</v>
      </c>
      <c r="H106" s="542">
        <f t="shared" si="9"/>
        <v>1465.9051144224991</v>
      </c>
      <c r="I106" s="258">
        <f>$H106*'Clés de répartition'!Q$15</f>
        <v>1232.2970123238254</v>
      </c>
      <c r="J106" s="258">
        <f>$H106*'Clés de répartition'!R$15</f>
        <v>148.61122655070096</v>
      </c>
      <c r="K106" s="258">
        <f>$H106*'Clés de répartition'!S$15</f>
        <v>40.660156530807079</v>
      </c>
      <c r="L106" s="258">
        <f>$H106*'Clés de répartition'!T$15</f>
        <v>44.33671901716577</v>
      </c>
      <c r="M106" s="430"/>
      <c r="N106" s="430"/>
      <c r="O106" s="430"/>
      <c r="P106" s="430"/>
      <c r="T106" s="9"/>
      <c r="U106" s="9"/>
      <c r="V106" s="9"/>
      <c r="W106" s="9"/>
      <c r="X106" s="9"/>
      <c r="Y106" s="9"/>
      <c r="Z106" s="9"/>
      <c r="AA106" s="9"/>
      <c r="AB106" s="9"/>
      <c r="AC106" s="9"/>
      <c r="AD106" s="9"/>
    </row>
    <row r="107" spans="1:30" ht="14.25" customHeight="1">
      <c r="A107" s="638"/>
      <c r="B107" s="195">
        <v>75021</v>
      </c>
      <c r="C107" s="193" t="s">
        <v>369</v>
      </c>
      <c r="D107" s="194" t="s">
        <v>348</v>
      </c>
      <c r="E107" s="529">
        <v>15946</v>
      </c>
      <c r="F107" s="257">
        <f t="shared" si="7"/>
        <v>4225.4898523592728</v>
      </c>
      <c r="G107" s="257">
        <f t="shared" si="8"/>
        <v>8070.8399501558088</v>
      </c>
      <c r="H107" s="542">
        <f t="shared" si="9"/>
        <v>12296.329802515082</v>
      </c>
      <c r="I107" s="258">
        <f>$H107*'Clés de répartition'!Q$15</f>
        <v>10336.774412685807</v>
      </c>
      <c r="J107" s="258">
        <f>$H107*'Clés de répartition'!R$15</f>
        <v>1246.5831765268163</v>
      </c>
      <c r="K107" s="258">
        <f>$H107*'Clés de répartition'!S$15</f>
        <v>341.0662051763544</v>
      </c>
      <c r="L107" s="258">
        <f>$H107*'Clés de répartition'!T$15</f>
        <v>371.90600812610489</v>
      </c>
      <c r="M107" s="430"/>
      <c r="N107" s="430"/>
      <c r="O107" s="430"/>
      <c r="P107" s="430"/>
      <c r="T107" s="9"/>
      <c r="U107" s="9"/>
      <c r="V107" s="9"/>
      <c r="W107" s="9"/>
      <c r="X107" s="9"/>
      <c r="Y107" s="9"/>
      <c r="Z107" s="9"/>
      <c r="AA107" s="9"/>
      <c r="AB107" s="9"/>
      <c r="AC107" s="9"/>
      <c r="AD107" s="9"/>
    </row>
    <row r="108" spans="1:30" ht="14.25" customHeight="1">
      <c r="A108" s="638"/>
      <c r="B108" s="195">
        <v>75035</v>
      </c>
      <c r="C108" s="193" t="s">
        <v>370</v>
      </c>
      <c r="D108" s="194" t="s">
        <v>348</v>
      </c>
      <c r="E108" s="529">
        <v>2698</v>
      </c>
      <c r="F108" s="257">
        <f t="shared" si="7"/>
        <v>714.93613581244938</v>
      </c>
      <c r="G108" s="257">
        <f t="shared" si="8"/>
        <v>1365.5541317898139</v>
      </c>
      <c r="H108" s="542">
        <f t="shared" si="9"/>
        <v>2080.4902676022634</v>
      </c>
      <c r="I108" s="258">
        <f>$H108*'Clés de répartition'!Q$15</f>
        <v>1748.9412620987275</v>
      </c>
      <c r="J108" s="258">
        <f>$H108*'Clés de répartition'!R$15</f>
        <v>210.91693279000066</v>
      </c>
      <c r="K108" s="258">
        <f>$H108*'Clés de répartition'!S$15</f>
        <v>57.707050142092328</v>
      </c>
      <c r="L108" s="258">
        <f>$H108*'Clés de répartition'!T$15</f>
        <v>62.925022571443066</v>
      </c>
      <c r="M108" s="430"/>
      <c r="N108" s="430"/>
      <c r="O108" s="430"/>
      <c r="P108" s="430"/>
      <c r="T108" s="9"/>
      <c r="U108" s="9"/>
      <c r="V108" s="9"/>
      <c r="W108" s="9"/>
      <c r="X108" s="9"/>
      <c r="Y108" s="9"/>
      <c r="Z108" s="9"/>
      <c r="AA108" s="9"/>
      <c r="AB108" s="9"/>
      <c r="AC108" s="9"/>
      <c r="AD108" s="9"/>
    </row>
    <row r="109" spans="1:30" ht="14.25" customHeight="1">
      <c r="A109" s="638"/>
      <c r="B109" s="195">
        <v>75040</v>
      </c>
      <c r="C109" s="193" t="s">
        <v>371</v>
      </c>
      <c r="D109" s="194" t="s">
        <v>348</v>
      </c>
      <c r="E109" s="531">
        <v>65</v>
      </c>
      <c r="F109" s="202">
        <f t="shared" si="7"/>
        <v>17.224184146704676</v>
      </c>
      <c r="G109" s="202">
        <f t="shared" si="8"/>
        <v>32.898820817767941</v>
      </c>
      <c r="H109" s="544">
        <f t="shared" si="9"/>
        <v>50.123004964472614</v>
      </c>
      <c r="I109" s="203">
        <f>H109</f>
        <v>50.123004964472614</v>
      </c>
      <c r="J109" s="203">
        <v>0</v>
      </c>
      <c r="K109" s="203">
        <v>0</v>
      </c>
      <c r="L109" s="203">
        <v>0</v>
      </c>
      <c r="M109" s="430"/>
      <c r="N109" s="430"/>
      <c r="O109" s="430"/>
      <c r="P109" s="430"/>
      <c r="T109" s="9"/>
      <c r="U109" s="9"/>
      <c r="V109" s="9"/>
      <c r="W109" s="9"/>
      <c r="X109" s="9"/>
      <c r="Y109" s="9"/>
      <c r="Z109" s="9"/>
      <c r="AA109" s="9"/>
      <c r="AB109" s="9"/>
      <c r="AC109" s="9"/>
      <c r="AD109" s="9"/>
    </row>
    <row r="110" spans="1:30" ht="14.25" customHeight="1">
      <c r="A110" s="638"/>
      <c r="B110" s="195">
        <v>75050</v>
      </c>
      <c r="C110" s="193" t="s">
        <v>54</v>
      </c>
      <c r="D110" s="194" t="s">
        <v>348</v>
      </c>
      <c r="E110" s="532">
        <v>4915</v>
      </c>
      <c r="F110" s="205">
        <f t="shared" si="7"/>
        <v>1302.4133089392842</v>
      </c>
      <c r="G110" s="205">
        <f t="shared" si="8"/>
        <v>2487.6569895281445</v>
      </c>
      <c r="H110" s="545">
        <f t="shared" si="9"/>
        <v>3790.070298467429</v>
      </c>
      <c r="I110" s="206">
        <v>0</v>
      </c>
      <c r="J110" s="207">
        <f>H110</f>
        <v>3790.070298467429</v>
      </c>
      <c r="K110" s="207">
        <v>0</v>
      </c>
      <c r="L110" s="207">
        <v>0</v>
      </c>
      <c r="M110" s="430"/>
      <c r="N110" s="430"/>
      <c r="O110" s="430"/>
      <c r="P110" s="430"/>
      <c r="T110" s="9"/>
      <c r="U110" s="9"/>
      <c r="V110" s="9"/>
      <c r="W110" s="9"/>
      <c r="X110" s="9"/>
      <c r="Y110" s="9"/>
      <c r="Z110" s="9"/>
      <c r="AA110" s="9"/>
      <c r="AB110" s="9"/>
      <c r="AC110" s="9"/>
      <c r="AD110" s="9"/>
    </row>
    <row r="111" spans="1:30" ht="14.25" customHeight="1">
      <c r="A111" s="638"/>
      <c r="B111" s="195">
        <v>75055</v>
      </c>
      <c r="C111" s="193" t="s">
        <v>372</v>
      </c>
      <c r="D111" s="194" t="s">
        <v>348</v>
      </c>
      <c r="E111" s="532">
        <v>215</v>
      </c>
      <c r="F111" s="205">
        <f t="shared" ref="F111:F144" si="11">E111*$F$40</f>
        <v>56.97230140833085</v>
      </c>
      <c r="G111" s="205">
        <f t="shared" ref="G111:G144" si="12">E111/$E$39*$E$36</f>
        <v>108.81917655107857</v>
      </c>
      <c r="H111" s="545">
        <f t="shared" ref="H111:H144" si="13">F111+G111</f>
        <v>165.79147795940941</v>
      </c>
      <c r="I111" s="206">
        <v>0</v>
      </c>
      <c r="J111" s="207">
        <f>H111</f>
        <v>165.79147795940941</v>
      </c>
      <c r="K111" s="207">
        <v>0</v>
      </c>
      <c r="L111" s="207">
        <v>0</v>
      </c>
      <c r="M111" s="430"/>
      <c r="N111" s="430"/>
      <c r="O111" s="430"/>
      <c r="P111" s="430"/>
      <c r="T111" s="9"/>
      <c r="U111" s="9"/>
      <c r="V111" s="9"/>
      <c r="W111" s="9"/>
      <c r="X111" s="9"/>
      <c r="Y111" s="9"/>
      <c r="Z111" s="9"/>
      <c r="AA111" s="9"/>
      <c r="AB111" s="9"/>
      <c r="AC111" s="9"/>
      <c r="AD111" s="9"/>
    </row>
    <row r="112" spans="1:30" ht="14.25" customHeight="1">
      <c r="A112" s="638"/>
      <c r="B112" s="195">
        <v>75059</v>
      </c>
      <c r="C112" s="193" t="s">
        <v>373</v>
      </c>
      <c r="D112" s="194" t="s">
        <v>348</v>
      </c>
      <c r="E112" s="531">
        <v>415</v>
      </c>
      <c r="F112" s="202">
        <f t="shared" si="11"/>
        <v>109.96979109049907</v>
      </c>
      <c r="G112" s="202">
        <f t="shared" si="12"/>
        <v>210.04631752882608</v>
      </c>
      <c r="H112" s="544">
        <f t="shared" si="13"/>
        <v>320.01610861932517</v>
      </c>
      <c r="I112" s="203">
        <f>H112</f>
        <v>320.01610861932517</v>
      </c>
      <c r="J112" s="208">
        <v>0</v>
      </c>
      <c r="K112" s="209">
        <v>0</v>
      </c>
      <c r="L112" s="204">
        <v>0</v>
      </c>
      <c r="M112" s="430"/>
      <c r="N112" s="430"/>
      <c r="O112" s="430"/>
      <c r="P112" s="430"/>
      <c r="T112" s="9"/>
      <c r="U112" s="9"/>
      <c r="V112" s="9"/>
      <c r="W112" s="9"/>
      <c r="X112" s="9"/>
      <c r="Y112" s="9"/>
      <c r="Z112" s="9"/>
      <c r="AA112" s="9"/>
      <c r="AB112" s="9"/>
      <c r="AC112" s="9"/>
      <c r="AD112" s="9"/>
    </row>
    <row r="113" spans="1:30" ht="16" customHeight="1">
      <c r="A113" s="638"/>
      <c r="B113" s="472">
        <v>75101</v>
      </c>
      <c r="C113" s="473" t="s">
        <v>66</v>
      </c>
      <c r="D113" s="474" t="s">
        <v>348</v>
      </c>
      <c r="E113" s="533">
        <v>14971</v>
      </c>
      <c r="F113" s="475">
        <f t="shared" si="11"/>
        <v>3967.1270901587027</v>
      </c>
      <c r="G113" s="475">
        <f t="shared" si="12"/>
        <v>7577.3576378892894</v>
      </c>
      <c r="H113" s="546">
        <f t="shared" si="13"/>
        <v>11544.484728047992</v>
      </c>
      <c r="I113" s="476">
        <f>$H113*'Clés de répartition'!Q$15</f>
        <v>9704.7441196738491</v>
      </c>
      <c r="J113" s="476">
        <f>$H113*'Clés de répartition'!R$15</f>
        <v>1170.3622686431058</v>
      </c>
      <c r="K113" s="476">
        <f>$H113*'Clés de répartition'!S$15</f>
        <v>320.21210069579843</v>
      </c>
      <c r="L113" s="476">
        <f>$H113*'Clés de répartition'!T$15</f>
        <v>349.16623903523868</v>
      </c>
      <c r="M113" s="430"/>
      <c r="N113" s="430"/>
      <c r="O113" s="430"/>
      <c r="P113" s="430"/>
      <c r="T113" s="9"/>
      <c r="U113" s="9"/>
      <c r="V113" s="9"/>
      <c r="W113" s="9"/>
      <c r="X113" s="9"/>
      <c r="Y113" s="9"/>
      <c r="Z113" s="9"/>
      <c r="AA113" s="9"/>
      <c r="AB113" s="9"/>
      <c r="AC113" s="9"/>
      <c r="AD113" s="9"/>
    </row>
    <row r="114" spans="1:30" s="3" customFormat="1" ht="16" customHeight="1" thickBot="1">
      <c r="A114" s="467"/>
      <c r="B114" s="468"/>
      <c r="C114" s="469" t="s">
        <v>423</v>
      </c>
      <c r="D114" s="470"/>
      <c r="E114" s="534">
        <v>451225</v>
      </c>
      <c r="F114" s="471">
        <f t="shared" si="11"/>
        <v>119568.96140918179</v>
      </c>
      <c r="G114" s="471">
        <f t="shared" si="12"/>
        <v>228381.08343842058</v>
      </c>
      <c r="H114" s="547">
        <f t="shared" si="13"/>
        <v>347950.04484760237</v>
      </c>
      <c r="I114" s="471">
        <f>SUM(I67:I113)*(1-'Clés de répartition'!B299)</f>
        <v>273748.03424318688</v>
      </c>
      <c r="J114" s="471">
        <f>SUM(J67:J113)*'Clés de répartition'!F255*'Clés de répartition'!F269</f>
        <v>27246.541088966402</v>
      </c>
      <c r="K114" s="471">
        <f>'Clés de répartition'!B189*SUM(K67:K113)</f>
        <v>7693.5336721600743</v>
      </c>
      <c r="L114" s="471">
        <f t="shared" ref="L114" si="14">SUM(L67:L113)</f>
        <v>7680.3508272836125</v>
      </c>
      <c r="M114" s="430"/>
      <c r="N114" s="430"/>
      <c r="O114" s="430"/>
      <c r="P114" s="430"/>
      <c r="T114" s="10"/>
      <c r="U114" s="10"/>
      <c r="V114" s="10"/>
      <c r="W114" s="10"/>
      <c r="X114" s="10"/>
      <c r="Y114" s="10"/>
      <c r="Z114" s="10"/>
      <c r="AA114" s="10"/>
      <c r="AB114" s="10"/>
      <c r="AC114" s="10"/>
      <c r="AD114" s="10"/>
    </row>
    <row r="115" spans="1:30" ht="14.25" customHeight="1">
      <c r="A115" s="66" t="s">
        <v>154</v>
      </c>
      <c r="B115" s="195">
        <v>55733</v>
      </c>
      <c r="C115" s="193" t="s">
        <v>384</v>
      </c>
      <c r="D115" s="194" t="s">
        <v>348</v>
      </c>
      <c r="E115" s="529">
        <v>3688</v>
      </c>
      <c r="F115" s="257">
        <f t="shared" si="11"/>
        <v>977.27370973918221</v>
      </c>
      <c r="G115" s="257">
        <f t="shared" si="12"/>
        <v>1866.6284796296641</v>
      </c>
      <c r="H115" s="542">
        <f t="shared" si="13"/>
        <v>2843.9021893688464</v>
      </c>
      <c r="I115" s="258">
        <f>$H115*'Clés de répartition'!Q24*(1-'Clés de répartition'!B299)</f>
        <v>2358.9476025942427</v>
      </c>
      <c r="J115" s="258">
        <f>$H115*'Clés de répartition'!R24*'Clés de répartition'!F255*'Clés de répartition'!F269</f>
        <v>170.33001787533709</v>
      </c>
      <c r="K115" s="258">
        <f>$H115*'Clés de répartition'!S24*'Clés de répartition'!B189</f>
        <v>38.673385301856221</v>
      </c>
      <c r="L115" s="258">
        <f>$H115*'Clés de répartition'!T24</f>
        <v>69.674862889926956</v>
      </c>
      <c r="M115" s="430"/>
      <c r="N115" s="430"/>
      <c r="O115" s="430"/>
      <c r="P115" s="430"/>
      <c r="T115" s="9"/>
      <c r="U115" s="9"/>
      <c r="V115" s="9"/>
      <c r="W115" s="9"/>
      <c r="X115" s="9"/>
      <c r="Y115" s="9"/>
      <c r="Z115" s="9"/>
      <c r="AA115" s="9"/>
      <c r="AB115" s="9"/>
      <c r="AC115" s="9"/>
      <c r="AD115" s="9"/>
    </row>
    <row r="116" spans="1:30" ht="14.25" customHeight="1">
      <c r="A116" s="66" t="s">
        <v>155</v>
      </c>
      <c r="B116" s="195">
        <v>55510</v>
      </c>
      <c r="C116" s="193" t="s">
        <v>385</v>
      </c>
      <c r="D116" s="194" t="s">
        <v>348</v>
      </c>
      <c r="E116" s="529">
        <v>1504</v>
      </c>
      <c r="F116" s="257">
        <f t="shared" si="11"/>
        <v>398.54112240990509</v>
      </c>
      <c r="G116" s="257">
        <f t="shared" si="12"/>
        <v>761.22810015266123</v>
      </c>
      <c r="H116" s="542">
        <f t="shared" si="13"/>
        <v>1159.7692225625663</v>
      </c>
      <c r="I116" s="258">
        <f>$H116*'Clés de répartition'!Q25*(1-'Clés de répartition'!B299)</f>
        <v>997.01616141463455</v>
      </c>
      <c r="J116" s="258">
        <f>$H116*'Clés de répartition'!R25*'Clés de répartition'!F255*'Clés de répartition'!F269</f>
        <v>49.989075440683379</v>
      </c>
      <c r="K116" s="258">
        <f>$H116*'Clés de répartition'!S25*'Clés de répartition'!B189</f>
        <v>15.897854320252216</v>
      </c>
      <c r="L116" s="258">
        <f>$H116*'Clés de répartition'!T25</f>
        <v>25.954543583308244</v>
      </c>
      <c r="M116" s="430"/>
      <c r="N116" s="430"/>
      <c r="O116" s="430"/>
      <c r="P116" s="430"/>
      <c r="T116" s="9"/>
      <c r="U116" s="9"/>
      <c r="V116" s="9"/>
      <c r="W116" s="9"/>
      <c r="X116" s="9"/>
      <c r="Y116" s="9"/>
      <c r="Z116" s="9"/>
      <c r="AA116" s="9"/>
      <c r="AB116" s="9"/>
      <c r="AC116" s="9"/>
      <c r="AD116" s="9"/>
    </row>
    <row r="117" spans="1:30" ht="14.25" customHeight="1">
      <c r="A117" s="66" t="s">
        <v>156</v>
      </c>
      <c r="B117" s="195">
        <v>55734</v>
      </c>
      <c r="C117" s="193" t="s">
        <v>384</v>
      </c>
      <c r="D117" s="194" t="s">
        <v>348</v>
      </c>
      <c r="E117" s="529">
        <v>2200</v>
      </c>
      <c r="F117" s="257">
        <f t="shared" si="11"/>
        <v>582.97238650385054</v>
      </c>
      <c r="G117" s="257">
        <f t="shared" si="12"/>
        <v>1113.4985507552226</v>
      </c>
      <c r="H117" s="542">
        <f t="shared" si="13"/>
        <v>1696.4709372590733</v>
      </c>
      <c r="I117" s="258">
        <f>$H117*'Clés de répartition'!Q26*(1-'Clés de répartition'!B299)</f>
        <v>1329.0368482185481</v>
      </c>
      <c r="J117" s="258">
        <f>$H117*'Clés de répartition'!R26*'Clés de répartition'!F255*'Clés de répartition'!F269</f>
        <v>125.87722896379006</v>
      </c>
      <c r="K117" s="258">
        <f>$H117*'Clés de répartition'!S26*'Clés de répartition'!B189</f>
        <v>30.629815224000563</v>
      </c>
      <c r="L117" s="258">
        <f>$H117*'Clés de répartition'!T26</f>
        <v>68.713443262496241</v>
      </c>
      <c r="M117" s="430"/>
      <c r="N117" s="430"/>
      <c r="O117" s="430"/>
      <c r="P117" s="430"/>
      <c r="T117" s="9"/>
      <c r="U117" s="9"/>
      <c r="V117" s="9"/>
      <c r="W117" s="9"/>
      <c r="X117" s="9"/>
      <c r="Y117" s="9"/>
      <c r="Z117" s="9"/>
      <c r="AA117" s="9"/>
      <c r="AB117" s="9"/>
      <c r="AC117" s="9"/>
      <c r="AD117" s="9"/>
    </row>
    <row r="118" spans="1:30" ht="14.25" customHeight="1">
      <c r="A118" s="66" t="s">
        <v>156</v>
      </c>
      <c r="B118" s="195">
        <v>55744</v>
      </c>
      <c r="C118" s="193" t="s">
        <v>386</v>
      </c>
      <c r="D118" s="194" t="s">
        <v>348</v>
      </c>
      <c r="E118" s="538">
        <v>400</v>
      </c>
      <c r="F118" s="214">
        <f t="shared" si="11"/>
        <v>105.99497936433646</v>
      </c>
      <c r="G118" s="214">
        <f t="shared" si="12"/>
        <v>202.45428195549502</v>
      </c>
      <c r="H118" s="551">
        <f t="shared" si="13"/>
        <v>308.44926131983146</v>
      </c>
      <c r="I118" s="215">
        <v>0</v>
      </c>
      <c r="J118" s="221">
        <v>0</v>
      </c>
      <c r="K118" s="222">
        <v>0</v>
      </c>
      <c r="L118" s="223">
        <f>H118</f>
        <v>308.44926131983146</v>
      </c>
      <c r="M118" s="312"/>
      <c r="N118" s="312"/>
      <c r="O118" s="312"/>
      <c r="P118" s="312"/>
      <c r="T118" s="9"/>
      <c r="U118" s="9"/>
      <c r="V118" s="9"/>
      <c r="W118" s="9"/>
      <c r="X118" s="9"/>
      <c r="Y118" s="9"/>
      <c r="Z118" s="9"/>
      <c r="AA118" s="9"/>
      <c r="AB118" s="9"/>
      <c r="AC118" s="9"/>
      <c r="AD118" s="9"/>
    </row>
    <row r="119" spans="1:30" ht="14.25" customHeight="1">
      <c r="A119" s="66" t="s">
        <v>156</v>
      </c>
      <c r="B119" s="195">
        <v>55754</v>
      </c>
      <c r="C119" s="193" t="s">
        <v>387</v>
      </c>
      <c r="D119" s="194" t="s">
        <v>348</v>
      </c>
      <c r="E119" s="531">
        <v>300</v>
      </c>
      <c r="F119" s="202">
        <f t="shared" si="11"/>
        <v>79.49623452325234</v>
      </c>
      <c r="G119" s="202">
        <f t="shared" si="12"/>
        <v>151.84071146662126</v>
      </c>
      <c r="H119" s="544">
        <f t="shared" si="13"/>
        <v>231.33694598987358</v>
      </c>
      <c r="I119" s="203">
        <f>H119*(1-'Clés de répartition'!B299)</f>
        <v>225.25095717959221</v>
      </c>
      <c r="J119" s="204">
        <v>0</v>
      </c>
      <c r="K119" s="204">
        <v>0</v>
      </c>
      <c r="L119" s="204">
        <v>0</v>
      </c>
      <c r="M119" s="312"/>
      <c r="N119" s="312"/>
      <c r="O119" s="312"/>
      <c r="P119" s="312"/>
      <c r="T119" s="9"/>
      <c r="U119" s="9"/>
      <c r="V119" s="9"/>
      <c r="W119" s="9"/>
      <c r="X119" s="9"/>
      <c r="Y119" s="9"/>
      <c r="Z119" s="9"/>
      <c r="AA119" s="9"/>
      <c r="AB119" s="9"/>
      <c r="AC119" s="9"/>
      <c r="AD119" s="9"/>
    </row>
    <row r="120" spans="1:30" ht="14.25" customHeight="1">
      <c r="A120" s="597" t="s">
        <v>403</v>
      </c>
      <c r="B120" s="195">
        <v>55706</v>
      </c>
      <c r="C120" s="193" t="s">
        <v>384</v>
      </c>
      <c r="D120" s="194" t="s">
        <v>348</v>
      </c>
      <c r="E120" s="529">
        <v>1500</v>
      </c>
      <c r="F120" s="257">
        <f t="shared" si="11"/>
        <v>397.48117261626174</v>
      </c>
      <c r="G120" s="257">
        <f t="shared" si="12"/>
        <v>759.20355733310635</v>
      </c>
      <c r="H120" s="542">
        <f t="shared" si="13"/>
        <v>1156.6847299493681</v>
      </c>
      <c r="I120" s="258">
        <f>$H120*'Clés de répartition'!Q27*(1-'Clés de répartition'!B299)</f>
        <v>1064.7021345979724</v>
      </c>
      <c r="J120" s="258">
        <f>$H120*'Clés de répartition'!R27*'Clés de répartition'!F255*'Clés de répartition'!F269</f>
        <v>8.2257304077192011</v>
      </c>
      <c r="K120" s="258">
        <f>$H120*'Clés de répartition'!S27*'Clés de répartition'!B189</f>
        <v>31.423946724154938</v>
      </c>
      <c r="L120" s="258">
        <f>$H120*'Clés de répartition'!T27</f>
        <v>2.7735018637535593</v>
      </c>
      <c r="M120" s="312"/>
      <c r="N120" s="312"/>
      <c r="O120" s="312"/>
      <c r="P120" s="312"/>
      <c r="T120" s="9"/>
      <c r="U120" s="9"/>
      <c r="V120" s="9"/>
      <c r="W120" s="9"/>
      <c r="X120" s="9"/>
      <c r="Y120" s="9"/>
      <c r="Z120" s="9"/>
      <c r="AA120" s="9"/>
      <c r="AB120" s="9"/>
      <c r="AC120" s="9"/>
      <c r="AD120" s="9"/>
    </row>
    <row r="121" spans="1:30" ht="14.25" customHeight="1">
      <c r="A121" s="63" t="s">
        <v>168</v>
      </c>
      <c r="B121" s="195">
        <v>55717</v>
      </c>
      <c r="C121" s="193" t="s">
        <v>384</v>
      </c>
      <c r="D121" s="194" t="s">
        <v>348</v>
      </c>
      <c r="E121" s="529">
        <v>1450</v>
      </c>
      <c r="F121" s="257">
        <f t="shared" si="11"/>
        <v>384.2318001957197</v>
      </c>
      <c r="G121" s="257">
        <f t="shared" si="12"/>
        <v>733.89677208866942</v>
      </c>
      <c r="H121" s="542">
        <f t="shared" si="13"/>
        <v>1118.1285722843891</v>
      </c>
      <c r="I121" s="258">
        <f>$H121*'Clés de répartition'!Q28*(1-'Clés de répartition'!B299)</f>
        <v>961.73302256343004</v>
      </c>
      <c r="J121" s="258">
        <f>$H121*'Clés de répartition'!R28*'Clés de répartition'!F255*'Clés de répartition'!F269</f>
        <v>57.346353918964063</v>
      </c>
      <c r="K121" s="258">
        <f>$H121*'Clés de répartition'!S28*'Clés de répartition'!B189</f>
        <v>10.564330680253441</v>
      </c>
      <c r="L121" s="258">
        <f>$H121*'Clés de répartition'!T28</f>
        <v>15.665642223196381</v>
      </c>
      <c r="M121" s="312"/>
      <c r="N121" s="312"/>
      <c r="O121" s="312"/>
      <c r="P121" s="312"/>
      <c r="T121" s="9"/>
      <c r="U121" s="9"/>
      <c r="V121" s="9"/>
      <c r="W121" s="9"/>
      <c r="X121" s="9"/>
      <c r="Y121" s="9"/>
      <c r="Z121" s="9"/>
      <c r="AA121" s="9"/>
      <c r="AB121" s="9"/>
      <c r="AC121" s="9"/>
      <c r="AD121" s="9"/>
    </row>
    <row r="122" spans="1:30" ht="14.25" customHeight="1">
      <c r="A122" s="66" t="s">
        <v>167</v>
      </c>
      <c r="B122" s="195">
        <v>55700</v>
      </c>
      <c r="C122" s="193" t="s">
        <v>384</v>
      </c>
      <c r="D122" s="194" t="s">
        <v>348</v>
      </c>
      <c r="E122" s="529">
        <v>2132</v>
      </c>
      <c r="F122" s="257">
        <f t="shared" si="11"/>
        <v>564.95324001191329</v>
      </c>
      <c r="G122" s="257">
        <f t="shared" si="12"/>
        <v>1079.0813228227885</v>
      </c>
      <c r="H122" s="542">
        <f t="shared" si="13"/>
        <v>1644.0345628347018</v>
      </c>
      <c r="I122" s="258">
        <f>$H122*'Clés de répartition'!Q29*(1-'Clés de répartition'!B299)</f>
        <v>1450.59091205505</v>
      </c>
      <c r="J122" s="258">
        <f>$H122*'Clés de répartition'!R29*'Clés de répartition'!F255*'Clés de répartition'!F269</f>
        <v>61.974777796503169</v>
      </c>
      <c r="K122" s="258">
        <f>$H122*'Clés de répartition'!S29*'Clés de répartition'!B189</f>
        <v>11.3026265245711</v>
      </c>
      <c r="L122" s="258">
        <f>$H122*'Clés de répartition'!T29</f>
        <v>30.412521904028427</v>
      </c>
      <c r="M122" s="312"/>
      <c r="N122" s="312"/>
      <c r="O122" s="312"/>
      <c r="P122" s="312"/>
      <c r="T122" s="9"/>
      <c r="U122" s="9"/>
      <c r="V122" s="9"/>
      <c r="W122" s="9"/>
      <c r="X122" s="9"/>
      <c r="Y122" s="9"/>
      <c r="Z122" s="9"/>
      <c r="AA122" s="9"/>
      <c r="AB122" s="9"/>
      <c r="AC122" s="9"/>
      <c r="AD122" s="9"/>
    </row>
    <row r="123" spans="1:30" ht="14.25" customHeight="1">
      <c r="A123" s="63" t="s">
        <v>170</v>
      </c>
      <c r="B123" s="195">
        <v>55729</v>
      </c>
      <c r="C123" s="193" t="s">
        <v>388</v>
      </c>
      <c r="D123" s="194" t="s">
        <v>348</v>
      </c>
      <c r="E123" s="529">
        <v>2478</v>
      </c>
      <c r="F123" s="257">
        <f t="shared" si="11"/>
        <v>656.63889716206438</v>
      </c>
      <c r="G123" s="257">
        <f t="shared" si="12"/>
        <v>1254.2042767142916</v>
      </c>
      <c r="H123" s="542">
        <f t="shared" si="13"/>
        <v>1910.8431738763561</v>
      </c>
      <c r="I123" s="258">
        <f>$H123*'Clés de répartition'!Q30*(1-'Clés de répartition'!B299)</f>
        <v>1530.6679590076913</v>
      </c>
      <c r="J123" s="258">
        <f>$H123*'Clés de répartition'!R30*'Clés de répartition'!F255*'Clés de répartition'!F269</f>
        <v>133.1230479376259</v>
      </c>
      <c r="K123" s="258">
        <f>$H123*'Clés de répartition'!S30*'Clés de répartition'!B189</f>
        <v>40.527756522936244</v>
      </c>
      <c r="L123" s="258">
        <f>$H123*'Clés de répartition'!T30</f>
        <v>48.915675406556765</v>
      </c>
      <c r="M123" s="312"/>
      <c r="N123" s="312"/>
      <c r="O123" s="312"/>
      <c r="P123" s="312"/>
      <c r="T123" s="9"/>
      <c r="U123" s="9"/>
      <c r="V123" s="9"/>
      <c r="W123" s="9"/>
      <c r="X123" s="9"/>
      <c r="Y123" s="9"/>
      <c r="Z123" s="9"/>
      <c r="AA123" s="9"/>
      <c r="AB123" s="9"/>
      <c r="AC123" s="9"/>
      <c r="AD123" s="9"/>
    </row>
    <row r="124" spans="1:30" ht="14.25" customHeight="1">
      <c r="A124" s="63" t="s">
        <v>171</v>
      </c>
      <c r="B124" s="195">
        <v>55716</v>
      </c>
      <c r="C124" s="193" t="s">
        <v>384</v>
      </c>
      <c r="D124" s="194" t="s">
        <v>348</v>
      </c>
      <c r="E124" s="529">
        <v>2514</v>
      </c>
      <c r="F124" s="257">
        <f t="shared" si="11"/>
        <v>666.17844530485468</v>
      </c>
      <c r="G124" s="257">
        <f t="shared" si="12"/>
        <v>1272.4251620902862</v>
      </c>
      <c r="H124" s="542">
        <f t="shared" si="13"/>
        <v>1938.6036073951409</v>
      </c>
      <c r="I124" s="258">
        <f>$H124*'Clés de répartition'!Q31*(1-'Clés de répartition'!B299)</f>
        <v>1627.3343008663151</v>
      </c>
      <c r="J124" s="258">
        <f>$H124*'Clés de répartition'!R31*'Clés de répartition'!F255*'Clés de répartition'!F269</f>
        <v>99.674191011918936</v>
      </c>
      <c r="K124" s="258">
        <f>$H124*'Clés de répartition'!S31*'Clés de répartition'!B189</f>
        <v>21.512130732421017</v>
      </c>
      <c r="L124" s="258">
        <f>$H124*'Clés de répartition'!T31</f>
        <v>63.228736591511428</v>
      </c>
      <c r="M124" s="312"/>
      <c r="N124" s="312"/>
      <c r="O124" s="312"/>
      <c r="P124" s="312"/>
      <c r="T124" s="9"/>
      <c r="U124" s="9"/>
      <c r="V124" s="9"/>
      <c r="W124" s="9"/>
      <c r="X124" s="9"/>
      <c r="Y124" s="9"/>
      <c r="Z124" s="9"/>
      <c r="AA124" s="9"/>
      <c r="AB124" s="9"/>
      <c r="AC124" s="9"/>
      <c r="AD124" s="9"/>
    </row>
    <row r="125" spans="1:30" ht="14.25" customHeight="1">
      <c r="A125" s="493" t="s">
        <v>172</v>
      </c>
      <c r="B125" s="195">
        <v>50021</v>
      </c>
      <c r="C125" s="193" t="s">
        <v>389</v>
      </c>
      <c r="D125" s="194" t="s">
        <v>348</v>
      </c>
      <c r="E125" s="529">
        <v>150</v>
      </c>
      <c r="F125" s="257">
        <f t="shared" si="11"/>
        <v>39.74811726162617</v>
      </c>
      <c r="G125" s="257">
        <f t="shared" si="12"/>
        <v>75.920355733310629</v>
      </c>
      <c r="H125" s="542">
        <f t="shared" si="13"/>
        <v>115.66847299493679</v>
      </c>
      <c r="I125" s="258">
        <f>$H125*'Clés de répartition'!Q32*(1-'Clés de répartition'!B299)</f>
        <v>88.539742407369289</v>
      </c>
      <c r="J125" s="258">
        <f>$H125*'Clés de répartition'!R32*'Clés de répartition'!F255*'Clés de répartition'!F269</f>
        <v>7.2906996833207929</v>
      </c>
      <c r="K125" s="258">
        <f>$H125*'Clés de répartition'!S32*'Clés de répartition'!B189</f>
        <v>3.4372067963357167</v>
      </c>
      <c r="L125" s="258">
        <f>$H125*'Clés de répartition'!T32</f>
        <v>7.0688554485375477</v>
      </c>
      <c r="M125" s="312"/>
      <c r="N125" s="312"/>
      <c r="O125" s="312"/>
      <c r="P125" s="312"/>
      <c r="T125" s="9"/>
      <c r="U125" s="9"/>
      <c r="V125" s="9"/>
      <c r="W125" s="9"/>
      <c r="X125" s="9"/>
      <c r="Y125" s="9"/>
      <c r="Z125" s="9"/>
      <c r="AA125" s="9"/>
      <c r="AB125" s="9"/>
      <c r="AC125" s="9"/>
      <c r="AD125" s="9"/>
    </row>
    <row r="126" spans="1:30" ht="14.25" customHeight="1">
      <c r="A126" s="493" t="s">
        <v>172</v>
      </c>
      <c r="B126" s="195">
        <v>55705</v>
      </c>
      <c r="C126" s="193" t="s">
        <v>384</v>
      </c>
      <c r="D126" s="194" t="s">
        <v>348</v>
      </c>
      <c r="E126" s="529">
        <v>425</v>
      </c>
      <c r="F126" s="257">
        <f t="shared" si="11"/>
        <v>112.6196655746075</v>
      </c>
      <c r="G126" s="257">
        <f t="shared" si="12"/>
        <v>215.10767457771345</v>
      </c>
      <c r="H126" s="542">
        <f t="shared" si="13"/>
        <v>327.72734015232095</v>
      </c>
      <c r="I126" s="258">
        <f>$H126*'Clés de répartition'!Q32*(1-'Clés de répartition'!B299)</f>
        <v>250.86260348754632</v>
      </c>
      <c r="J126" s="258">
        <f>$H126*'Clés de répartition'!R32*'Clés de répartition'!F255*'Clés de répartition'!F269</f>
        <v>20.65698243607558</v>
      </c>
      <c r="K126" s="258">
        <f>$H126*'Clés de répartition'!S32*'Clés de répartition'!B189</f>
        <v>9.7387525896178637</v>
      </c>
      <c r="L126" s="258">
        <f>$H126*'Clés de répartition'!T32</f>
        <v>20.028423770856389</v>
      </c>
      <c r="M126" s="312"/>
      <c r="N126" s="312"/>
      <c r="O126" s="312"/>
      <c r="P126" s="312"/>
      <c r="T126" s="9"/>
      <c r="U126" s="9"/>
      <c r="V126" s="9"/>
      <c r="W126" s="9"/>
      <c r="X126" s="9"/>
      <c r="Y126" s="9"/>
      <c r="Z126" s="9"/>
      <c r="AA126" s="9"/>
      <c r="AB126" s="9"/>
      <c r="AC126" s="9"/>
      <c r="AD126" s="9"/>
    </row>
    <row r="127" spans="1:30" ht="14.25" customHeight="1">
      <c r="A127" s="63" t="s">
        <v>173</v>
      </c>
      <c r="B127" s="195">
        <v>55713</v>
      </c>
      <c r="C127" s="193" t="s">
        <v>384</v>
      </c>
      <c r="D127" s="194" t="s">
        <v>348</v>
      </c>
      <c r="E127" s="529">
        <v>1370</v>
      </c>
      <c r="F127" s="257">
        <f t="shared" si="11"/>
        <v>363.03280432285237</v>
      </c>
      <c r="G127" s="257">
        <f t="shared" si="12"/>
        <v>693.40591569757044</v>
      </c>
      <c r="H127" s="542">
        <f t="shared" si="13"/>
        <v>1056.4387200204228</v>
      </c>
      <c r="I127" s="258">
        <f>$H127*'Clés de répartition'!Q33*(1-'Clés de répartition'!B299)</f>
        <v>962.3319552412778</v>
      </c>
      <c r="J127" s="258">
        <f>$H127*'Clés de répartition'!R33*'Clés de répartition'!F255*'Clés de répartition'!F269</f>
        <v>18.410689652974636</v>
      </c>
      <c r="K127" s="258">
        <f>$H127*'Clés de répartition'!S33*'Clés de répartition'!B189</f>
        <v>22.429151009197174</v>
      </c>
      <c r="L127" s="258">
        <f>$H127*'Clés de répartition'!T33</f>
        <v>3.271214455981462</v>
      </c>
      <c r="M127" s="312"/>
      <c r="N127" s="312"/>
      <c r="O127" s="312"/>
      <c r="P127" s="312"/>
      <c r="T127" s="9"/>
      <c r="U127" s="9"/>
      <c r="V127" s="9"/>
      <c r="W127" s="9"/>
      <c r="X127" s="9"/>
      <c r="Y127" s="9"/>
      <c r="Z127" s="9"/>
      <c r="AA127" s="9"/>
      <c r="AB127" s="9"/>
      <c r="AC127" s="9"/>
      <c r="AD127" s="9"/>
    </row>
    <row r="128" spans="1:30" ht="14.25" customHeight="1">
      <c r="A128" s="63" t="s">
        <v>350</v>
      </c>
      <c r="B128" s="195">
        <v>50020</v>
      </c>
      <c r="C128" s="193" t="s">
        <v>389</v>
      </c>
      <c r="D128" s="194" t="s">
        <v>348</v>
      </c>
      <c r="E128" s="529">
        <v>1200</v>
      </c>
      <c r="F128" s="257">
        <f t="shared" si="11"/>
        <v>317.98493809300936</v>
      </c>
      <c r="G128" s="257">
        <f t="shared" si="12"/>
        <v>607.36284586648503</v>
      </c>
      <c r="H128" s="542">
        <f t="shared" si="13"/>
        <v>925.34778395949434</v>
      </c>
      <c r="I128" s="258">
        <f>$H128*'Clés de répartition'!Q34*(1-'Clés de répartition'!B299)</f>
        <v>637.53879470426716</v>
      </c>
      <c r="J128" s="258">
        <f>$H128*'Clés de répartition'!R34*'Clés de répartition'!F255*'Clés de répartition'!F269</f>
        <v>76.05204011429295</v>
      </c>
      <c r="K128" s="258">
        <f>$H128*'Clés de répartition'!S34*'Clés de répartition'!B189</f>
        <v>45.719517622491232</v>
      </c>
      <c r="L128" s="258">
        <f>$H128*'Clés de répartition'!T34</f>
        <v>71.778697292516242</v>
      </c>
      <c r="M128" s="312"/>
      <c r="N128" s="312"/>
      <c r="O128" s="312"/>
      <c r="P128" s="312"/>
      <c r="T128" s="9"/>
      <c r="U128" s="9"/>
      <c r="V128" s="9"/>
      <c r="W128" s="9"/>
      <c r="X128" s="9"/>
      <c r="Y128" s="9"/>
      <c r="Z128" s="9"/>
      <c r="AA128" s="9"/>
      <c r="AB128" s="9"/>
      <c r="AC128" s="9"/>
      <c r="AD128" s="9"/>
    </row>
    <row r="129" spans="1:30" ht="14.25" customHeight="1">
      <c r="A129" s="63" t="s">
        <v>174</v>
      </c>
      <c r="B129" s="195">
        <v>55731</v>
      </c>
      <c r="C129" s="193" t="s">
        <v>384</v>
      </c>
      <c r="D129" s="194" t="s">
        <v>348</v>
      </c>
      <c r="E129" s="529">
        <v>4300</v>
      </c>
      <c r="F129" s="257">
        <f t="shared" si="11"/>
        <v>1139.446028166617</v>
      </c>
      <c r="G129" s="257">
        <f t="shared" si="12"/>
        <v>2176.3835310215713</v>
      </c>
      <c r="H129" s="542">
        <f t="shared" si="13"/>
        <v>3315.8295591881883</v>
      </c>
      <c r="I129" s="258">
        <f>$H129*'Clés de répartition'!Q35*(1-'Clés de répartition'!B299)</f>
        <v>2919.3702296774604</v>
      </c>
      <c r="J129" s="258">
        <f>$H129*'Clés de répartition'!R35*'Clés de répartition'!F255*'Clés de répartition'!F269</f>
        <v>129.94940245162275</v>
      </c>
      <c r="K129" s="258">
        <f>$H129*'Clés de répartition'!S35*'Clés de répartition'!B189</f>
        <v>45.165578316381428</v>
      </c>
      <c r="L129" s="258">
        <f>$H129*'Clés de répartition'!T35</f>
        <v>26.348944367977481</v>
      </c>
      <c r="M129" s="312"/>
      <c r="N129" s="312"/>
      <c r="O129" s="312"/>
      <c r="P129" s="312"/>
      <c r="T129" s="9"/>
      <c r="U129" s="9"/>
      <c r="V129" s="9"/>
      <c r="W129" s="9"/>
      <c r="X129" s="9"/>
      <c r="Y129" s="9"/>
      <c r="Z129" s="9"/>
      <c r="AA129" s="9"/>
      <c r="AB129" s="9"/>
      <c r="AC129" s="9"/>
      <c r="AD129" s="9"/>
    </row>
    <row r="130" spans="1:30" ht="14.25" customHeight="1">
      <c r="A130" s="63" t="s">
        <v>175</v>
      </c>
      <c r="B130" s="195">
        <v>55732</v>
      </c>
      <c r="C130" s="193" t="s">
        <v>384</v>
      </c>
      <c r="D130" s="194" t="s">
        <v>348</v>
      </c>
      <c r="E130" s="529">
        <v>2590</v>
      </c>
      <c r="F130" s="257">
        <f t="shared" si="11"/>
        <v>686.31749138407861</v>
      </c>
      <c r="G130" s="257">
        <f t="shared" si="12"/>
        <v>1310.8914756618303</v>
      </c>
      <c r="H130" s="542">
        <f t="shared" si="13"/>
        <v>1997.208967045909</v>
      </c>
      <c r="I130" s="258">
        <f>$H130*'Clés de répartition'!Q36*(1-'Clés de répartition'!B299)</f>
        <v>1488.6727851215646</v>
      </c>
      <c r="J130" s="258">
        <f>$H130*'Clés de répartition'!R36*'Clés de répartition'!F255*'Clés de répartition'!F269</f>
        <v>161.91447115441304</v>
      </c>
      <c r="K130" s="258">
        <f>$H130*'Clés de répartition'!S36*'Clés de répartition'!B189</f>
        <v>70.667181524776908</v>
      </c>
      <c r="L130" s="258">
        <f>$H130*'Clés de répartition'!T36</f>
        <v>84.279373556043154</v>
      </c>
      <c r="M130" s="312"/>
      <c r="N130" s="312"/>
      <c r="O130" s="312"/>
      <c r="P130" s="312"/>
      <c r="T130" s="9"/>
      <c r="U130" s="9"/>
      <c r="V130" s="9"/>
      <c r="W130" s="9"/>
      <c r="X130" s="9"/>
      <c r="Y130" s="9"/>
      <c r="Z130" s="9"/>
      <c r="AA130" s="9"/>
      <c r="AB130" s="9"/>
      <c r="AC130" s="9"/>
      <c r="AD130" s="9"/>
    </row>
    <row r="131" spans="1:30" ht="14.25" customHeight="1">
      <c r="A131" s="493" t="s">
        <v>176</v>
      </c>
      <c r="B131" s="195">
        <v>44715</v>
      </c>
      <c r="C131" s="193" t="s">
        <v>390</v>
      </c>
      <c r="D131" s="194" t="s">
        <v>348</v>
      </c>
      <c r="E131" s="530">
        <v>414</v>
      </c>
      <c r="F131" s="256">
        <f t="shared" si="11"/>
        <v>109.70480364208824</v>
      </c>
      <c r="G131" s="256">
        <f t="shared" si="12"/>
        <v>209.54018182393733</v>
      </c>
      <c r="H131" s="543">
        <f t="shared" si="13"/>
        <v>319.24498546602558</v>
      </c>
      <c r="I131" s="259">
        <f>$H131*'Clés de répartition'!AC37*(1-'Clés de répartition'!B299)</f>
        <v>270.27565143963642</v>
      </c>
      <c r="J131" s="259">
        <f>$H131*'Clés de répartition'!AD37*'Clés de répartition'!F255*'Clés de répartition'!F269</f>
        <v>15.175220001939364</v>
      </c>
      <c r="K131" s="259">
        <f>$H131*'Clés de répartition'!AE37*'Clés de répartition'!B189</f>
        <v>7.4665281667617087</v>
      </c>
      <c r="L131" s="259">
        <f>$H131*'Clés de répartition'!AF37</f>
        <v>4.4334761253687507</v>
      </c>
      <c r="M131" s="312"/>
      <c r="N131" s="312"/>
      <c r="O131" s="312"/>
      <c r="P131" s="312"/>
      <c r="T131" s="9"/>
      <c r="U131" s="9"/>
      <c r="V131" s="9"/>
      <c r="W131" s="9"/>
      <c r="X131" s="9"/>
      <c r="Y131" s="9"/>
      <c r="Z131" s="9"/>
      <c r="AA131" s="9"/>
      <c r="AB131" s="9"/>
      <c r="AC131" s="9"/>
      <c r="AD131" s="9"/>
    </row>
    <row r="132" spans="1:30" ht="14.25" customHeight="1">
      <c r="A132" s="493" t="s">
        <v>176</v>
      </c>
      <c r="B132" s="195">
        <v>55714</v>
      </c>
      <c r="C132" s="193" t="s">
        <v>384</v>
      </c>
      <c r="D132" s="194" t="s">
        <v>348</v>
      </c>
      <c r="E132" s="529">
        <v>3660</v>
      </c>
      <c r="F132" s="257">
        <f t="shared" si="11"/>
        <v>969.8540611836786</v>
      </c>
      <c r="G132" s="257">
        <f t="shared" si="12"/>
        <v>1852.4566798927794</v>
      </c>
      <c r="H132" s="542">
        <f t="shared" si="13"/>
        <v>2822.3107410764578</v>
      </c>
      <c r="I132" s="258">
        <f>$H132*'Clés de répartition'!Q37*(1-'Clés de répartition'!B299)</f>
        <v>2400.9844497309718</v>
      </c>
      <c r="J132" s="258">
        <f>$H132*'Clés de répartition'!R37*'Clés de répartition'!F255*'Clés de répartition'!F269</f>
        <v>134.80854472767902</v>
      </c>
      <c r="K132" s="258">
        <f>$H132*'Clés de répartition'!S37*'Clés de répartition'!B189</f>
        <v>57.018696351190158</v>
      </c>
      <c r="L132" s="258">
        <f>$H132*'Clés de répartition'!T37</f>
        <v>39.384632609575945</v>
      </c>
      <c r="M132" s="312"/>
      <c r="N132" s="312"/>
      <c r="O132" s="312"/>
      <c r="P132" s="312"/>
      <c r="T132" s="9"/>
      <c r="U132" s="9"/>
      <c r="V132" s="9"/>
      <c r="W132" s="9"/>
      <c r="X132" s="9"/>
      <c r="Y132" s="9"/>
      <c r="Z132" s="9"/>
      <c r="AA132" s="9"/>
      <c r="AB132" s="9"/>
      <c r="AC132" s="9"/>
      <c r="AD132" s="9"/>
    </row>
    <row r="133" spans="1:30" ht="14.25" customHeight="1">
      <c r="A133" s="493" t="s">
        <v>176</v>
      </c>
      <c r="B133" s="195">
        <v>55721</v>
      </c>
      <c r="C133" s="193" t="s">
        <v>391</v>
      </c>
      <c r="D133" s="194" t="s">
        <v>348</v>
      </c>
      <c r="E133" s="529">
        <v>3500</v>
      </c>
      <c r="F133" s="257">
        <f t="shared" si="11"/>
        <v>927.45606943794405</v>
      </c>
      <c r="G133" s="257">
        <f t="shared" si="12"/>
        <v>1771.4749671105815</v>
      </c>
      <c r="H133" s="542">
        <f t="shared" si="13"/>
        <v>2698.9310365485253</v>
      </c>
      <c r="I133" s="258">
        <f>$H133*'Clés de répartition'!Q37*(1-'Clés de répartition'!B299)</f>
        <v>2296.0233808902735</v>
      </c>
      <c r="J133" s="258">
        <f>$H133*'Clés de répartition'!R37*'Clés de répartition'!F255*'Clés de répartition'!F269</f>
        <v>128.91527501280783</v>
      </c>
      <c r="K133" s="258">
        <f>$H133*'Clés de répartition'!S37*'Clés de répartition'!B189</f>
        <v>54.526075745673644</v>
      </c>
      <c r="L133" s="258">
        <f>$H133*'Clés de répartition'!T37</f>
        <v>37.662900036479734</v>
      </c>
      <c r="M133" s="312"/>
      <c r="N133" s="312"/>
      <c r="O133" s="312"/>
      <c r="P133" s="312"/>
      <c r="T133" s="9"/>
      <c r="U133" s="9"/>
      <c r="V133" s="9"/>
      <c r="W133" s="9"/>
      <c r="X133" s="9"/>
      <c r="Y133" s="9"/>
      <c r="Z133" s="9"/>
      <c r="AA133" s="9"/>
      <c r="AB133" s="9"/>
      <c r="AC133" s="9"/>
      <c r="AD133" s="9"/>
    </row>
    <row r="134" spans="1:30" ht="14.25" customHeight="1">
      <c r="A134" s="63" t="s">
        <v>177</v>
      </c>
      <c r="B134" s="195">
        <v>55718</v>
      </c>
      <c r="C134" s="193" t="s">
        <v>384</v>
      </c>
      <c r="D134" s="194" t="s">
        <v>348</v>
      </c>
      <c r="E134" s="529">
        <v>3300</v>
      </c>
      <c r="F134" s="257">
        <f t="shared" si="11"/>
        <v>874.45857975577576</v>
      </c>
      <c r="G134" s="257">
        <f t="shared" si="12"/>
        <v>1670.247826132834</v>
      </c>
      <c r="H134" s="542">
        <f t="shared" si="13"/>
        <v>2544.7064058886099</v>
      </c>
      <c r="I134" s="258">
        <f>$H134*'Clés de répartition'!Q38*(1-'Clés de répartition'!B299)</f>
        <v>2231.360760552594</v>
      </c>
      <c r="J134" s="258">
        <f>$H134*'Clés de répartition'!R38*'Clés de répartition'!F255*'Clés de répartition'!F269</f>
        <v>115.37767742193778</v>
      </c>
      <c r="K134" s="258">
        <f>$H134*'Clés de répartition'!S38*'Clés de répartition'!B189</f>
        <v>11.352027602657781</v>
      </c>
      <c r="L134" s="258">
        <f>$H134*'Clés de répartition'!T38</f>
        <v>36.75931768301637</v>
      </c>
      <c r="M134" s="312"/>
      <c r="N134" s="312"/>
      <c r="O134" s="312"/>
      <c r="P134" s="312"/>
      <c r="T134" s="9"/>
      <c r="U134" s="9"/>
      <c r="V134" s="9"/>
      <c r="W134" s="9"/>
      <c r="X134" s="9"/>
      <c r="Y134" s="9"/>
      <c r="Z134" s="9"/>
      <c r="AA134" s="9"/>
      <c r="AB134" s="9"/>
      <c r="AC134" s="9"/>
      <c r="AD134" s="9"/>
    </row>
    <row r="135" spans="1:30" ht="14.25" customHeight="1">
      <c r="A135" s="63" t="s">
        <v>169</v>
      </c>
      <c r="B135" s="195">
        <v>55736</v>
      </c>
      <c r="C135" s="193" t="s">
        <v>384</v>
      </c>
      <c r="D135" s="194" t="s">
        <v>348</v>
      </c>
      <c r="E135" s="529">
        <v>1750</v>
      </c>
      <c r="F135" s="257">
        <f t="shared" si="11"/>
        <v>463.72803471897203</v>
      </c>
      <c r="G135" s="257">
        <f t="shared" si="12"/>
        <v>885.73748355529074</v>
      </c>
      <c r="H135" s="542">
        <f t="shared" si="13"/>
        <v>1349.4655182742626</v>
      </c>
      <c r="I135" s="258">
        <f>$H135*'Clés de répartition'!Q39*(1-'Clés de répartition'!B299)</f>
        <v>1015.4018847039379</v>
      </c>
      <c r="J135" s="258">
        <f>$H135*'Clés de répartition'!R39*'Clés de répartition'!F255*'Clés de répartition'!F269</f>
        <v>110.91113741139532</v>
      </c>
      <c r="K135" s="258">
        <f>$H135*'Clés de répartition'!S39*'Clés de répartition'!B189</f>
        <v>22.791386165340381</v>
      </c>
      <c r="L135" s="258">
        <f>$H135*'Clés de répartition'!T39</f>
        <v>81.235478378963549</v>
      </c>
      <c r="M135" s="312"/>
      <c r="N135" s="312"/>
      <c r="O135" s="312"/>
      <c r="P135" s="312"/>
      <c r="T135" s="9"/>
      <c r="U135" s="9"/>
      <c r="V135" s="9"/>
      <c r="W135" s="9"/>
      <c r="X135" s="9"/>
      <c r="Y135" s="9"/>
      <c r="Z135" s="9"/>
      <c r="AA135" s="9"/>
      <c r="AB135" s="9"/>
      <c r="AC135" s="9"/>
      <c r="AD135" s="9"/>
    </row>
    <row r="136" spans="1:30" ht="14.25" customHeight="1">
      <c r="A136" s="63" t="s">
        <v>169</v>
      </c>
      <c r="B136" s="195">
        <v>55747</v>
      </c>
      <c r="C136" s="193" t="s">
        <v>392</v>
      </c>
      <c r="D136" s="194" t="s">
        <v>348</v>
      </c>
      <c r="E136" s="531">
        <v>300</v>
      </c>
      <c r="F136" s="202">
        <f t="shared" si="11"/>
        <v>79.49623452325234</v>
      </c>
      <c r="G136" s="202">
        <f t="shared" si="12"/>
        <v>151.84071146662126</v>
      </c>
      <c r="H136" s="544">
        <f t="shared" si="13"/>
        <v>231.33694598987358</v>
      </c>
      <c r="I136" s="203">
        <f>H136*(1-'Clés de répartition'!B299)</f>
        <v>225.25095717959221</v>
      </c>
      <c r="J136" s="203">
        <v>0</v>
      </c>
      <c r="K136" s="204">
        <v>0</v>
      </c>
      <c r="L136" s="204">
        <v>0</v>
      </c>
      <c r="M136" s="312"/>
      <c r="N136" s="312"/>
      <c r="O136" s="312"/>
      <c r="P136" s="312"/>
      <c r="T136" s="9"/>
      <c r="U136" s="9"/>
      <c r="V136" s="9"/>
      <c r="W136" s="9"/>
      <c r="X136" s="9"/>
      <c r="Y136" s="9"/>
      <c r="Z136" s="9"/>
      <c r="AA136" s="9"/>
      <c r="AB136" s="9"/>
      <c r="AC136" s="9"/>
      <c r="AD136" s="9"/>
    </row>
    <row r="137" spans="1:30" ht="14.25" customHeight="1">
      <c r="A137" s="63" t="s">
        <v>169</v>
      </c>
      <c r="B137" s="195">
        <v>55757</v>
      </c>
      <c r="C137" s="193" t="s">
        <v>393</v>
      </c>
      <c r="D137" s="194" t="s">
        <v>348</v>
      </c>
      <c r="E137" s="538">
        <v>75</v>
      </c>
      <c r="F137" s="214">
        <f t="shared" si="11"/>
        <v>19.874058630813085</v>
      </c>
      <c r="G137" s="214">
        <f t="shared" si="12"/>
        <v>37.960177866655314</v>
      </c>
      <c r="H137" s="551">
        <f t="shared" si="13"/>
        <v>57.834236497468396</v>
      </c>
      <c r="I137" s="215">
        <v>0</v>
      </c>
      <c r="J137" s="215">
        <v>0</v>
      </c>
      <c r="K137" s="223">
        <v>0</v>
      </c>
      <c r="L137" s="223">
        <f>H137</f>
        <v>57.834236497468396</v>
      </c>
      <c r="M137" s="312"/>
      <c r="N137" s="312"/>
      <c r="O137" s="312"/>
      <c r="P137" s="312"/>
      <c r="T137" s="9"/>
      <c r="U137" s="9"/>
      <c r="V137" s="9"/>
      <c r="W137" s="9"/>
      <c r="X137" s="9"/>
      <c r="Y137" s="9"/>
      <c r="Z137" s="9"/>
      <c r="AA137" s="9"/>
      <c r="AB137" s="9"/>
      <c r="AC137" s="9"/>
      <c r="AD137" s="9"/>
    </row>
    <row r="138" spans="1:30" ht="14.25" customHeight="1">
      <c r="A138" s="63" t="s">
        <v>169</v>
      </c>
      <c r="B138" s="195">
        <v>57023</v>
      </c>
      <c r="C138" s="193" t="s">
        <v>394</v>
      </c>
      <c r="D138" s="194" t="s">
        <v>348</v>
      </c>
      <c r="E138" s="530">
        <v>100</v>
      </c>
      <c r="F138" s="256">
        <f t="shared" si="11"/>
        <v>26.498744841084115</v>
      </c>
      <c r="G138" s="256">
        <f t="shared" si="12"/>
        <v>50.613570488873755</v>
      </c>
      <c r="H138" s="543">
        <f t="shared" si="13"/>
        <v>77.112315329957866</v>
      </c>
      <c r="I138" s="259">
        <f>$H138*'Clés de répartition'!AC39*(1-'Clés de répartition'!B299)</f>
        <v>57.084709017132887</v>
      </c>
      <c r="J138" s="259">
        <f>$H138*'Clés de répartition'!AD39*'Clés de répartition'!F255*'Clés de répartition'!F269</f>
        <v>6.2352947155842404</v>
      </c>
      <c r="K138" s="259">
        <f>$H138*'Clés de répartition'!AE39*'Clés de répartition'!B189</f>
        <v>2.129223432328275</v>
      </c>
      <c r="L138" s="259">
        <f>$H138*'Clés de répartition'!AF39</f>
        <v>4.5669637953083271</v>
      </c>
      <c r="M138" s="312"/>
      <c r="N138" s="312"/>
      <c r="O138" s="312"/>
      <c r="P138" s="312"/>
      <c r="T138" s="9"/>
      <c r="U138" s="9"/>
      <c r="V138" s="9"/>
      <c r="W138" s="9"/>
      <c r="X138" s="9"/>
      <c r="Y138" s="9"/>
      <c r="Z138" s="9"/>
      <c r="AA138" s="9"/>
      <c r="AB138" s="9"/>
      <c r="AC138" s="9"/>
      <c r="AD138" s="9"/>
    </row>
    <row r="139" spans="1:30" ht="14.25" customHeight="1">
      <c r="A139" s="597" t="s">
        <v>856</v>
      </c>
      <c r="B139" s="195">
        <v>55719</v>
      </c>
      <c r="C139" s="193" t="s">
        <v>384</v>
      </c>
      <c r="D139" s="194" t="s">
        <v>348</v>
      </c>
      <c r="E139" s="529">
        <v>1184</v>
      </c>
      <c r="F139" s="257">
        <f t="shared" si="11"/>
        <v>313.74513891843594</v>
      </c>
      <c r="G139" s="257">
        <f t="shared" si="12"/>
        <v>599.26467458826517</v>
      </c>
      <c r="H139" s="542">
        <f t="shared" si="13"/>
        <v>913.00981350670111</v>
      </c>
      <c r="I139" s="258">
        <f>$H139*'Clés de répartition'!Q40*(1-'Clés de répartition'!B299)</f>
        <v>727.92547851069833</v>
      </c>
      <c r="J139" s="258">
        <f>$H139*'Clés de répartition'!R40*'Clés de répartition'!F255*'Clés de répartition'!F269</f>
        <v>66.288078492972204</v>
      </c>
      <c r="K139" s="258">
        <f>$H139*'Clés de répartition'!S40*'Clés de répartition'!B189</f>
        <v>16.575466961749555</v>
      </c>
      <c r="L139" s="258">
        <f>$H139*'Clés de répartition'!T40</f>
        <v>26.362490138101393</v>
      </c>
      <c r="M139" s="312"/>
      <c r="N139" s="312"/>
      <c r="O139" s="312"/>
      <c r="P139" s="312"/>
      <c r="T139" s="9"/>
      <c r="U139" s="9"/>
      <c r="V139" s="9"/>
      <c r="W139" s="9"/>
      <c r="X139" s="9"/>
      <c r="Y139" s="9"/>
      <c r="Z139" s="9"/>
      <c r="AA139" s="9"/>
      <c r="AB139" s="9"/>
      <c r="AC139" s="9"/>
      <c r="AD139" s="9"/>
    </row>
    <row r="140" spans="1:30" ht="14.25" customHeight="1">
      <c r="A140" s="597" t="s">
        <v>856</v>
      </c>
      <c r="B140" s="195">
        <v>83022</v>
      </c>
      <c r="C140" s="193" t="s">
        <v>395</v>
      </c>
      <c r="D140" s="194" t="s">
        <v>348</v>
      </c>
      <c r="E140" s="531">
        <v>400</v>
      </c>
      <c r="F140" s="202">
        <f t="shared" si="11"/>
        <v>105.99497936433646</v>
      </c>
      <c r="G140" s="202">
        <f t="shared" si="12"/>
        <v>202.45428195549502</v>
      </c>
      <c r="H140" s="544">
        <f t="shared" si="13"/>
        <v>308.44926131983146</v>
      </c>
      <c r="I140" s="203">
        <f>H140*(1-'Clés de répartition'!B299)</f>
        <v>300.33460957278965</v>
      </c>
      <c r="J140" s="203">
        <v>0</v>
      </c>
      <c r="K140" s="204">
        <v>0</v>
      </c>
      <c r="L140" s="204">
        <v>0</v>
      </c>
      <c r="M140" s="312"/>
      <c r="N140" s="312"/>
      <c r="O140" s="312"/>
      <c r="P140" s="312"/>
      <c r="T140" s="9"/>
      <c r="U140" s="9"/>
      <c r="V140" s="9"/>
      <c r="W140" s="9"/>
      <c r="X140" s="9"/>
      <c r="Y140" s="9"/>
      <c r="Z140" s="9"/>
      <c r="AA140" s="9"/>
      <c r="AB140" s="9"/>
      <c r="AC140" s="9"/>
      <c r="AD140" s="9"/>
    </row>
    <row r="141" spans="1:30" ht="14.25" customHeight="1">
      <c r="A141" s="63" t="s">
        <v>178</v>
      </c>
      <c r="B141" s="195">
        <v>55737</v>
      </c>
      <c r="C141" s="193" t="s">
        <v>384</v>
      </c>
      <c r="D141" s="194" t="s">
        <v>348</v>
      </c>
      <c r="E141" s="529">
        <v>4682</v>
      </c>
      <c r="F141" s="257">
        <f t="shared" si="11"/>
        <v>1240.6712334595584</v>
      </c>
      <c r="G141" s="257">
        <f t="shared" si="12"/>
        <v>2369.7273702890693</v>
      </c>
      <c r="H141" s="542">
        <f t="shared" si="13"/>
        <v>3610.3986037486275</v>
      </c>
      <c r="I141" s="258">
        <f>$H141*'Clés de répartition'!Q41*(1-'Clés de répartition'!B299)</f>
        <v>2767.2906403204815</v>
      </c>
      <c r="J141" s="258">
        <f>$H141*'Clés de répartition'!R41*'Clés de répartition'!F255*'Clés de répartition'!F269</f>
        <v>256.89461234006041</v>
      </c>
      <c r="K141" s="258">
        <f>$H141*'Clés de répartition'!S41*'Clés de répartition'!B189</f>
        <v>55.373062146366983</v>
      </c>
      <c r="L141" s="258">
        <f>$H141*'Clés de répartition'!T41</f>
        <v>242.48000867558153</v>
      </c>
      <c r="M141" s="312"/>
      <c r="N141" s="312"/>
      <c r="O141" s="312"/>
      <c r="P141" s="312"/>
      <c r="T141" s="9"/>
      <c r="U141" s="9"/>
      <c r="V141" s="9"/>
      <c r="W141" s="9"/>
      <c r="X141" s="9"/>
      <c r="Y141" s="9"/>
      <c r="Z141" s="9"/>
      <c r="AA141" s="9"/>
      <c r="AB141" s="9"/>
      <c r="AC141" s="9"/>
      <c r="AD141" s="9"/>
    </row>
    <row r="142" spans="1:30" ht="14.25" customHeight="1">
      <c r="A142" s="493" t="s">
        <v>179</v>
      </c>
      <c r="B142" s="195">
        <v>55730</v>
      </c>
      <c r="C142" s="193" t="s">
        <v>384</v>
      </c>
      <c r="D142" s="194" t="s">
        <v>348</v>
      </c>
      <c r="E142" s="529">
        <v>700</v>
      </c>
      <c r="F142" s="257">
        <f t="shared" si="11"/>
        <v>185.4912138875888</v>
      </c>
      <c r="G142" s="257">
        <f t="shared" si="12"/>
        <v>354.29499342211631</v>
      </c>
      <c r="H142" s="542">
        <f t="shared" si="13"/>
        <v>539.78620730970511</v>
      </c>
      <c r="I142" s="258">
        <f>$H142*'Clés de répartition'!Q42*(1-'Clés de répartition'!B299)</f>
        <v>413.99849966331641</v>
      </c>
      <c r="J142" s="258">
        <f>$H142*'Clés de répartition'!R42*'Clés de répartition'!F255*'Clés de répartition'!F269</f>
        <v>45.575525144084011</v>
      </c>
      <c r="K142" s="258">
        <f>$H142*'Clés de répartition'!S42*'Clés de répartition'!B189</f>
        <v>11.919212503160743</v>
      </c>
      <c r="L142" s="258">
        <f>$H142*'Clés de répartition'!T42</f>
        <v>18.227969209952025</v>
      </c>
      <c r="M142" s="312"/>
      <c r="N142" s="312"/>
      <c r="O142" s="312"/>
      <c r="P142" s="312"/>
      <c r="T142" s="9"/>
      <c r="U142" s="9"/>
      <c r="V142" s="9"/>
      <c r="W142" s="9"/>
      <c r="X142" s="9"/>
      <c r="Y142" s="9"/>
      <c r="Z142" s="9"/>
      <c r="AA142" s="9"/>
      <c r="AB142" s="9"/>
      <c r="AC142" s="9"/>
      <c r="AD142" s="9"/>
    </row>
    <row r="143" spans="1:30" ht="14.25" customHeight="1">
      <c r="A143" s="493" t="s">
        <v>179</v>
      </c>
      <c r="B143" s="472">
        <v>55738</v>
      </c>
      <c r="C143" s="473" t="s">
        <v>396</v>
      </c>
      <c r="D143" s="474" t="s">
        <v>348</v>
      </c>
      <c r="E143" s="533">
        <v>800</v>
      </c>
      <c r="F143" s="475">
        <f t="shared" si="11"/>
        <v>211.98995872867292</v>
      </c>
      <c r="G143" s="475">
        <f t="shared" si="12"/>
        <v>404.90856391099004</v>
      </c>
      <c r="H143" s="546">
        <f t="shared" si="13"/>
        <v>616.89852263966293</v>
      </c>
      <c r="I143" s="476">
        <f>$H143*'Clés de répartition'!Q42*(1-'Clés de répartition'!B299)</f>
        <v>473.14114247236159</v>
      </c>
      <c r="J143" s="476">
        <f>$H143*'Clés de répartition'!R42*'Clés de répartition'!F255*'Clés de répartition'!F269</f>
        <v>52.086314450381728</v>
      </c>
      <c r="K143" s="476">
        <f>$H143*'Clés de répartition'!S42*'Clés de répartition'!B189</f>
        <v>13.62195714646942</v>
      </c>
      <c r="L143" s="476">
        <f>$H143*'Clés de répartition'!T42</f>
        <v>20.831964811373741</v>
      </c>
      <c r="M143" s="312"/>
      <c r="N143" s="312"/>
      <c r="O143" s="312"/>
      <c r="P143" s="312"/>
      <c r="T143" s="9"/>
      <c r="U143" s="9"/>
      <c r="V143" s="9"/>
      <c r="W143" s="9"/>
      <c r="X143" s="9"/>
      <c r="Y143" s="9"/>
      <c r="Z143" s="9"/>
      <c r="AA143" s="9"/>
      <c r="AB143" s="9"/>
      <c r="AC143" s="9"/>
      <c r="AD143" s="9"/>
    </row>
    <row r="144" spans="1:30" s="3" customFormat="1" ht="14.25" customHeight="1" thickBot="1">
      <c r="A144" s="99"/>
      <c r="B144" s="469"/>
      <c r="C144" s="469" t="s">
        <v>423</v>
      </c>
      <c r="D144" s="469"/>
      <c r="E144" s="539">
        <v>49066</v>
      </c>
      <c r="F144" s="477">
        <f t="shared" si="11"/>
        <v>13001.874143726332</v>
      </c>
      <c r="G144" s="477">
        <f t="shared" si="12"/>
        <v>24834.054496070796</v>
      </c>
      <c r="H144" s="552">
        <f t="shared" si="13"/>
        <v>37835.92863979713</v>
      </c>
      <c r="I144" s="477">
        <f>SUM(I115:I143)</f>
        <v>31071.668173190748</v>
      </c>
      <c r="J144" s="477">
        <f>SUM(J115:J143)</f>
        <v>2053.082388564083</v>
      </c>
      <c r="K144" s="477">
        <f>SUM(K115:K143)</f>
        <v>650.46287011094478</v>
      </c>
      <c r="L144" s="477">
        <f t="shared" ref="L144" si="15">SUM(L115:L143)</f>
        <v>1416.3431358977114</v>
      </c>
      <c r="M144" s="431"/>
      <c r="N144" s="431"/>
      <c r="O144" s="431"/>
      <c r="P144" s="431"/>
      <c r="T144" s="10"/>
      <c r="U144" s="10"/>
      <c r="V144" s="10"/>
      <c r="W144" s="10"/>
      <c r="X144" s="10"/>
      <c r="Y144" s="10"/>
      <c r="Z144" s="10"/>
      <c r="AA144" s="10"/>
      <c r="AB144" s="10"/>
      <c r="AC144" s="10"/>
      <c r="AD144" s="10"/>
    </row>
    <row r="145" spans="1:30" ht="14.25" customHeight="1">
      <c r="A145" s="114"/>
      <c r="B145" s="52"/>
      <c r="C145" s="52"/>
      <c r="D145" s="52"/>
      <c r="E145" s="52"/>
      <c r="F145" s="52"/>
      <c r="G145" s="52"/>
      <c r="H145" s="52"/>
      <c r="I145" s="52"/>
      <c r="J145" s="52"/>
      <c r="K145"/>
      <c r="T145" s="9"/>
      <c r="U145" s="9"/>
      <c r="V145" s="9"/>
      <c r="W145" s="9"/>
      <c r="X145" s="9"/>
      <c r="Y145" s="9"/>
      <c r="Z145" s="9"/>
      <c r="AA145" s="9"/>
      <c r="AB145" s="9"/>
      <c r="AC145" s="9"/>
      <c r="AD145" s="9"/>
    </row>
    <row r="146" spans="1:30" ht="14.25" customHeight="1">
      <c r="A146" s="114"/>
      <c r="B146" s="52"/>
      <c r="C146" s="52"/>
      <c r="D146" s="52"/>
      <c r="E146" s="52"/>
      <c r="F146" s="52"/>
      <c r="G146" s="52"/>
      <c r="H146" s="52"/>
      <c r="I146" s="52"/>
      <c r="J146" s="52"/>
      <c r="K146"/>
      <c r="T146" s="9"/>
      <c r="U146" s="9"/>
      <c r="V146" s="9"/>
      <c r="W146" s="9"/>
      <c r="X146" s="9"/>
      <c r="Y146" s="9"/>
      <c r="Z146" s="9"/>
      <c r="AA146" s="9"/>
      <c r="AB146" s="9"/>
      <c r="AC146" s="9"/>
      <c r="AD146" s="9"/>
    </row>
    <row r="147" spans="1:30" ht="14.25" customHeight="1">
      <c r="A147" s="118" t="s">
        <v>283</v>
      </c>
      <c r="B147" s="52"/>
      <c r="C147" s="52"/>
      <c r="D147" s="52"/>
      <c r="E147" s="52"/>
      <c r="F147" s="52"/>
      <c r="G147" s="52"/>
      <c r="H147" s="52"/>
      <c r="I147" s="52"/>
      <c r="J147" s="52"/>
      <c r="K147"/>
      <c r="T147" s="9"/>
      <c r="U147" s="9"/>
      <c r="V147" s="9"/>
      <c r="W147" s="9"/>
      <c r="X147" s="9"/>
      <c r="Y147" s="9"/>
      <c r="Z147" s="9"/>
      <c r="AA147" s="9"/>
      <c r="AB147" s="9"/>
      <c r="AC147" s="9"/>
      <c r="AD147" s="9"/>
    </row>
    <row r="148" spans="1:30" ht="14.25" customHeight="1">
      <c r="A148" s="119" t="s">
        <v>68</v>
      </c>
      <c r="B148" s="52"/>
      <c r="C148" s="52"/>
      <c r="D148" s="52"/>
      <c r="E148" s="52"/>
      <c r="F148" s="52"/>
      <c r="G148" s="52"/>
      <c r="H148" s="52"/>
      <c r="I148" s="52"/>
      <c r="J148" s="52"/>
      <c r="K148"/>
      <c r="T148" s="9"/>
      <c r="U148" s="9"/>
      <c r="V148" s="9"/>
      <c r="W148" s="9"/>
      <c r="X148" s="9"/>
      <c r="Y148" s="9"/>
      <c r="Z148" s="9"/>
      <c r="AA148" s="9"/>
      <c r="AB148" s="9"/>
      <c r="AC148" s="9"/>
      <c r="AD148" s="9"/>
    </row>
    <row r="149" spans="1:30" ht="14.25" customHeight="1">
      <c r="A149" s="119" t="s">
        <v>68</v>
      </c>
      <c r="B149" s="52"/>
      <c r="C149" s="52"/>
      <c r="D149" s="52"/>
      <c r="E149" s="52"/>
      <c r="F149" s="52"/>
      <c r="G149" s="52"/>
      <c r="H149" s="52"/>
      <c r="I149" s="52"/>
      <c r="J149" s="52"/>
      <c r="K149"/>
      <c r="T149" s="9"/>
      <c r="U149" s="9"/>
      <c r="V149" s="9"/>
      <c r="W149" s="9"/>
      <c r="X149" s="9"/>
      <c r="Y149" s="9"/>
      <c r="Z149" s="9"/>
      <c r="AA149" s="9"/>
      <c r="AB149" s="9"/>
      <c r="AC149" s="9"/>
      <c r="AD149" s="9"/>
    </row>
    <row r="150" spans="1:30" ht="14.25" customHeight="1">
      <c r="A150" s="119" t="s">
        <v>68</v>
      </c>
      <c r="B150" s="52"/>
      <c r="C150" s="52"/>
      <c r="D150" s="52"/>
      <c r="E150" s="506"/>
      <c r="F150" s="506"/>
      <c r="G150" s="506"/>
      <c r="H150" s="506"/>
      <c r="I150" s="52"/>
      <c r="J150" s="52"/>
      <c r="K150"/>
      <c r="T150" s="9"/>
      <c r="U150" s="9"/>
      <c r="V150" s="9"/>
      <c r="W150" s="9"/>
      <c r="X150" s="9"/>
      <c r="Y150" s="9"/>
      <c r="Z150" s="9"/>
      <c r="AA150" s="9"/>
      <c r="AB150" s="9"/>
      <c r="AC150" s="9"/>
      <c r="AD150" s="9"/>
    </row>
    <row r="151" spans="1:30" ht="14.25" customHeight="1">
      <c r="A151" s="114"/>
      <c r="B151" s="52"/>
      <c r="C151" s="52"/>
      <c r="D151" s="52"/>
      <c r="E151" s="52"/>
      <c r="F151" s="52"/>
      <c r="G151" s="52"/>
      <c r="H151" s="52"/>
      <c r="I151" s="52"/>
      <c r="J151" s="52"/>
      <c r="K151"/>
      <c r="T151" s="9"/>
      <c r="U151" s="9"/>
      <c r="V151" s="9"/>
      <c r="W151" s="9"/>
      <c r="X151" s="9"/>
      <c r="Y151" s="9"/>
      <c r="Z151" s="9"/>
      <c r="AA151" s="9"/>
      <c r="AB151" s="9"/>
      <c r="AC151" s="9"/>
      <c r="AD151" s="9"/>
    </row>
    <row r="152" spans="1:30" ht="14.25" customHeight="1">
      <c r="A152" s="114"/>
      <c r="B152" s="52"/>
      <c r="C152" s="52"/>
      <c r="D152" s="52"/>
      <c r="E152" s="52"/>
      <c r="F152" s="52"/>
      <c r="G152" s="52"/>
      <c r="H152" s="52"/>
      <c r="I152" s="52"/>
      <c r="J152" s="52"/>
      <c r="K152"/>
      <c r="T152" s="9"/>
      <c r="U152" s="9"/>
      <c r="V152" s="9"/>
      <c r="W152" s="9"/>
      <c r="X152" s="9"/>
      <c r="Y152" s="9"/>
      <c r="Z152" s="9"/>
      <c r="AA152" s="9"/>
      <c r="AB152" s="9"/>
      <c r="AC152" s="9"/>
      <c r="AD152" s="9"/>
    </row>
    <row r="153" spans="1:30" ht="70" customHeight="1">
      <c r="C153" s="107" t="s">
        <v>942</v>
      </c>
      <c r="E153" s="492" t="s">
        <v>937</v>
      </c>
      <c r="F153" s="492" t="s">
        <v>212</v>
      </c>
      <c r="G153" s="492" t="s">
        <v>938</v>
      </c>
      <c r="K153"/>
      <c r="T153" s="9"/>
      <c r="U153" s="9"/>
      <c r="V153" s="9"/>
      <c r="W153" s="9"/>
      <c r="X153" s="9"/>
      <c r="Y153" s="9"/>
      <c r="Z153" s="9"/>
      <c r="AA153" s="9"/>
      <c r="AB153" s="9"/>
      <c r="AC153" s="9"/>
      <c r="AD153" s="9"/>
    </row>
    <row r="154" spans="1:30" ht="14.25" customHeight="1">
      <c r="C154" s="597" t="s">
        <v>154</v>
      </c>
      <c r="D154" s="252"/>
      <c r="E154" s="576">
        <v>616.27827000000002</v>
      </c>
      <c r="F154" s="576">
        <v>272.13425999999998</v>
      </c>
      <c r="G154" s="576">
        <f>('Clés de répartition'!D151*'Clés de répartition'!I151)/('Clés de répartition'!$D$134*'Clés de répartition'!$I$134)*$G$174</f>
        <v>2312.7022516519505</v>
      </c>
      <c r="K154"/>
      <c r="T154" s="9"/>
      <c r="U154" s="9"/>
      <c r="V154" s="9"/>
      <c r="W154" s="9"/>
      <c r="X154" s="9"/>
      <c r="Y154" s="9"/>
      <c r="Z154" s="9"/>
      <c r="AA154" s="9"/>
      <c r="AB154" s="9"/>
      <c r="AC154" s="9"/>
      <c r="AD154" s="9"/>
    </row>
    <row r="155" spans="1:30" ht="14.25" customHeight="1">
      <c r="C155" s="597" t="s">
        <v>155</v>
      </c>
      <c r="D155" s="252"/>
      <c r="E155" s="576">
        <v>352.28071999999997</v>
      </c>
      <c r="F155" s="576">
        <v>453.25205999999997</v>
      </c>
      <c r="G155" s="576">
        <f>('Clés de répartition'!D152*'Clés de répartition'!I152)/('Clés de répartition'!$D$134*'Clés de répartition'!$I$134)*$G$174</f>
        <v>776.10132267045435</v>
      </c>
      <c r="J155" s="16"/>
      <c r="K155"/>
      <c r="T155" s="9"/>
      <c r="U155" s="9"/>
      <c r="V155" s="9"/>
      <c r="W155" s="9"/>
      <c r="X155" s="9"/>
      <c r="Y155" s="9"/>
      <c r="Z155" s="9"/>
      <c r="AA155" s="9"/>
      <c r="AB155" s="9"/>
      <c r="AC155" s="9"/>
      <c r="AD155" s="9"/>
    </row>
    <row r="156" spans="1:30" ht="14.25" customHeight="1">
      <c r="C156" s="597" t="s">
        <v>156</v>
      </c>
      <c r="D156" s="252"/>
      <c r="E156" s="576">
        <v>736.98654999999997</v>
      </c>
      <c r="F156" s="576">
        <v>50.62144</v>
      </c>
      <c r="G156" s="576">
        <f>('Clés de répartition'!D153*'Clés de répartition'!I153)/('Clés de répartition'!$D$134*'Clés de répartition'!$I$134)*$G$174</f>
        <v>2696.0353888220343</v>
      </c>
      <c r="J156" s="16"/>
      <c r="K156"/>
      <c r="T156" s="9"/>
      <c r="U156" s="9"/>
      <c r="V156" s="9"/>
      <c r="W156" s="9"/>
      <c r="X156" s="9"/>
      <c r="Y156" s="9"/>
      <c r="Z156" s="9"/>
      <c r="AA156" s="9"/>
      <c r="AB156" s="9"/>
      <c r="AC156" s="9"/>
      <c r="AD156" s="9"/>
    </row>
    <row r="157" spans="1:30" ht="14.25" customHeight="1">
      <c r="C157" s="597" t="s">
        <v>403</v>
      </c>
      <c r="D157" s="252"/>
      <c r="E157" s="576">
        <v>75.790719999999993</v>
      </c>
      <c r="F157" s="576">
        <v>1.0906199999999999</v>
      </c>
      <c r="G157" s="576">
        <f>('Clés de répartition'!D154*'Clés de répartition'!I154)/('Clés de répartition'!$D$134*'Clés de répartition'!$I$134)*$G$174</f>
        <v>468.47010532234555</v>
      </c>
      <c r="J157" s="16"/>
      <c r="K157"/>
      <c r="T157" s="9"/>
      <c r="U157" s="9"/>
      <c r="V157" s="9"/>
      <c r="W157" s="9"/>
      <c r="X157" s="9"/>
      <c r="Y157" s="9"/>
      <c r="Z157" s="9"/>
      <c r="AA157" s="9"/>
      <c r="AB157" s="9"/>
      <c r="AC157" s="9"/>
      <c r="AD157" s="9"/>
    </row>
    <row r="158" spans="1:30" ht="14.25" customHeight="1">
      <c r="C158" s="597" t="s">
        <v>168</v>
      </c>
      <c r="D158" s="252"/>
      <c r="E158" s="576">
        <v>328.74133999999998</v>
      </c>
      <c r="F158" s="576">
        <v>598.82309999999995</v>
      </c>
      <c r="G158" s="576">
        <f>('Clés de répartition'!D155*'Clés de répartition'!I155)/('Clés de répartition'!$D$134*'Clés de répartition'!$I$134)*$G$174</f>
        <v>961.07050968518274</v>
      </c>
      <c r="J158" s="16"/>
      <c r="K158"/>
      <c r="T158" s="9"/>
      <c r="U158" s="9"/>
      <c r="V158" s="9"/>
      <c r="W158" s="9"/>
      <c r="X158" s="9"/>
      <c r="Y158" s="9"/>
      <c r="Z158" s="9"/>
      <c r="AA158" s="9"/>
      <c r="AB158" s="9"/>
      <c r="AC158" s="9"/>
      <c r="AD158" s="9"/>
    </row>
    <row r="159" spans="1:30" ht="14.25" customHeight="1">
      <c r="C159" s="597" t="s">
        <v>167</v>
      </c>
      <c r="D159" s="252"/>
      <c r="E159" s="576">
        <v>363.5181</v>
      </c>
      <c r="F159" s="576">
        <v>694.10853999999995</v>
      </c>
      <c r="G159" s="576">
        <f>('Clés de répartition'!D156*'Clés de répartition'!I156)/('Clés de répartition'!$D$134*'Clés de répartition'!$I$134)*$G$174</f>
        <v>1700.4840155748543</v>
      </c>
      <c r="J159" s="16"/>
      <c r="K159"/>
      <c r="T159" s="9"/>
      <c r="U159" s="9"/>
      <c r="V159" s="9"/>
      <c r="W159" s="9"/>
      <c r="X159" s="9"/>
      <c r="Y159" s="9"/>
      <c r="Z159" s="9"/>
      <c r="AA159" s="9"/>
      <c r="AB159" s="9"/>
      <c r="AC159" s="9"/>
      <c r="AD159" s="9"/>
    </row>
    <row r="160" spans="1:30" ht="14.25" customHeight="1">
      <c r="C160" s="597" t="s">
        <v>170</v>
      </c>
      <c r="D160" s="252"/>
      <c r="E160" s="576">
        <v>563.06554000000006</v>
      </c>
      <c r="F160" s="576">
        <v>214.82820000000001</v>
      </c>
      <c r="G160" s="576">
        <f>('Clés de répartition'!D157*'Clés de répartition'!I157)/('Clés de répartition'!$D$134*'Clés de répartition'!$I$134)*$G$174</f>
        <v>2321.3829631957328</v>
      </c>
      <c r="J160" s="16"/>
      <c r="K160"/>
      <c r="T160" s="9"/>
      <c r="U160" s="9"/>
      <c r="V160" s="9"/>
      <c r="W160" s="9"/>
      <c r="X160" s="9"/>
      <c r="Y160" s="9"/>
      <c r="Z160" s="9"/>
      <c r="AA160" s="9"/>
      <c r="AB160" s="9"/>
      <c r="AC160" s="9"/>
      <c r="AD160" s="9"/>
    </row>
    <row r="161" spans="2:30" ht="14.25" customHeight="1">
      <c r="C161" s="597" t="s">
        <v>171</v>
      </c>
      <c r="D161" s="252"/>
      <c r="E161" s="576">
        <v>226.41481999999999</v>
      </c>
      <c r="F161" s="576">
        <v>179.55744000000001</v>
      </c>
      <c r="G161" s="576">
        <f>('Clés de répartition'!D158*'Clés de répartition'!I158)/('Clés de répartition'!$D$134*'Clés de répartition'!$I$134)*$G$174</f>
        <v>1457.9374263066238</v>
      </c>
      <c r="J161" s="16"/>
      <c r="K161"/>
      <c r="T161" s="9"/>
      <c r="U161" s="9"/>
      <c r="V161" s="9"/>
      <c r="W161" s="9"/>
      <c r="X161" s="9"/>
      <c r="Y161" s="9"/>
      <c r="Z161" s="9"/>
      <c r="AA161" s="9"/>
      <c r="AB161" s="9"/>
      <c r="AC161" s="9"/>
      <c r="AD161" s="9"/>
    </row>
    <row r="162" spans="2:30" ht="14.25" customHeight="1">
      <c r="C162" s="597" t="s">
        <v>172</v>
      </c>
      <c r="D162" s="252"/>
      <c r="E162" s="576">
        <v>175.07963000000001</v>
      </c>
      <c r="F162" s="576">
        <v>0</v>
      </c>
      <c r="G162" s="576">
        <f>('Clés de répartition'!D159*'Clés de répartition'!I159)/('Clés de répartition'!$D$134*'Clés de répartition'!$I$134)*$G$174</f>
        <v>383.84897706177264</v>
      </c>
      <c r="J162" s="16"/>
      <c r="K162"/>
      <c r="T162" s="9"/>
      <c r="U162" s="9"/>
      <c r="V162" s="9"/>
      <c r="W162" s="9"/>
      <c r="X162" s="9"/>
      <c r="Y162" s="9"/>
      <c r="Z162" s="9"/>
      <c r="AA162" s="9"/>
      <c r="AB162" s="9"/>
      <c r="AC162" s="9"/>
      <c r="AD162" s="9"/>
    </row>
    <row r="163" spans="2:30" ht="14.25" customHeight="1">
      <c r="C163" s="597" t="s">
        <v>173</v>
      </c>
      <c r="D163" s="252"/>
      <c r="E163" s="576">
        <v>240.83680000000001</v>
      </c>
      <c r="F163" s="576">
        <v>0</v>
      </c>
      <c r="G163" s="576">
        <f>('Clés de répartition'!D160*'Clés de répartition'!I160)/('Clés de répartition'!$D$134*'Clés de répartition'!$I$134)*$G$174</f>
        <v>1641.6183546604782</v>
      </c>
      <c r="J163" s="16"/>
      <c r="K163"/>
      <c r="T163" s="9"/>
      <c r="U163" s="9"/>
      <c r="V163" s="9"/>
      <c r="W163" s="9"/>
      <c r="X163" s="9"/>
      <c r="Y163" s="9"/>
      <c r="Z163" s="9"/>
      <c r="AA163" s="9"/>
      <c r="AB163" s="9"/>
      <c r="AC163" s="9"/>
      <c r="AD163" s="9"/>
    </row>
    <row r="164" spans="2:30" ht="14.25" customHeight="1">
      <c r="C164" s="597" t="s">
        <v>350</v>
      </c>
      <c r="D164" s="252"/>
      <c r="E164" s="576">
        <v>658.96049000000005</v>
      </c>
      <c r="F164" s="576">
        <v>427.56794000000002</v>
      </c>
      <c r="G164" s="576">
        <f>('Clés de répartition'!D161*'Clés de répartition'!I161)/('Clés de répartition'!$D$134*'Clés de répartition'!$I$134)*$G$174</f>
        <v>1267.7301940783975</v>
      </c>
      <c r="J164" s="16"/>
      <c r="K164"/>
      <c r="T164" s="9"/>
      <c r="U164" s="9"/>
      <c r="V164" s="9"/>
      <c r="W164" s="9"/>
      <c r="X164" s="9"/>
      <c r="Y164" s="9"/>
      <c r="Z164" s="9"/>
      <c r="AA164" s="9"/>
      <c r="AB164" s="9"/>
      <c r="AC164" s="9"/>
      <c r="AD164" s="9"/>
    </row>
    <row r="165" spans="2:30" ht="14.25" customHeight="1">
      <c r="C165" s="597" t="s">
        <v>174</v>
      </c>
      <c r="D165" s="252"/>
      <c r="E165" s="576">
        <v>444.80211000000003</v>
      </c>
      <c r="F165" s="576">
        <v>395.36153999999999</v>
      </c>
      <c r="G165" s="576">
        <f>('Clés de répartition'!D162*'Clés de répartition'!I162)/('Clés de répartition'!$D$134*'Clés de répartition'!$I$134)*$G$174</f>
        <v>2402.6221625177832</v>
      </c>
      <c r="J165" s="16"/>
      <c r="K165"/>
      <c r="T165" s="9"/>
      <c r="U165" s="9"/>
      <c r="V165" s="9"/>
      <c r="W165" s="9"/>
      <c r="X165" s="9"/>
      <c r="Y165" s="9"/>
      <c r="Z165" s="9"/>
      <c r="AA165" s="9"/>
      <c r="AB165" s="9"/>
      <c r="AC165" s="9"/>
      <c r="AD165" s="9"/>
    </row>
    <row r="166" spans="2:30" ht="14.25" customHeight="1">
      <c r="C166" s="597" t="s">
        <v>175</v>
      </c>
      <c r="D166" s="252"/>
      <c r="E166" s="576">
        <v>623.78863999999999</v>
      </c>
      <c r="F166" s="576">
        <v>0</v>
      </c>
      <c r="G166" s="576">
        <f>('Clés de répartition'!D163*'Clés de répartition'!I163)/('Clés de répartition'!$D$134*'Clés de répartition'!$I$134)*$G$174</f>
        <v>2372.1992701324348</v>
      </c>
      <c r="J166" s="16"/>
      <c r="K166"/>
      <c r="T166" s="9"/>
      <c r="U166" s="9"/>
      <c r="V166" s="9"/>
      <c r="W166" s="9"/>
      <c r="X166" s="9"/>
      <c r="Y166" s="9"/>
      <c r="Z166" s="9"/>
      <c r="AA166" s="9"/>
      <c r="AB166" s="9"/>
      <c r="AC166" s="9"/>
      <c r="AD166" s="9"/>
    </row>
    <row r="167" spans="2:30" ht="14.25" customHeight="1">
      <c r="C167" s="597" t="s">
        <v>176</v>
      </c>
      <c r="D167" s="252"/>
      <c r="E167" s="576">
        <v>1089.4150500000001</v>
      </c>
      <c r="F167" s="576">
        <v>1188.5886</v>
      </c>
      <c r="G167" s="576">
        <f>('Clés de répartition'!D164*'Clés de répartition'!I164)/('Clés de répartition'!$D$134*'Clés de répartition'!$I$134)*$G$174</f>
        <v>1909.1921086718532</v>
      </c>
      <c r="J167" s="16"/>
      <c r="K167"/>
      <c r="T167" s="9"/>
      <c r="U167" s="9"/>
      <c r="V167" s="9"/>
      <c r="W167" s="9"/>
      <c r="X167" s="9"/>
      <c r="Y167" s="9"/>
      <c r="Z167" s="9"/>
      <c r="AA167" s="9"/>
      <c r="AB167" s="9"/>
      <c r="AC167" s="9"/>
      <c r="AD167" s="9"/>
    </row>
    <row r="168" spans="2:30" ht="14.25" customHeight="1">
      <c r="C168" s="597" t="s">
        <v>177</v>
      </c>
      <c r="D168" s="252"/>
      <c r="E168" s="576">
        <v>374.16145999999998</v>
      </c>
      <c r="F168" s="576">
        <v>52.687480000000001</v>
      </c>
      <c r="G168" s="576">
        <f>('Clés de répartition'!D165*'Clés de répartition'!I165)/('Clés de répartition'!$D$134*'Clés de répartition'!$I$134)*$G$174</f>
        <v>1446.4735701750783</v>
      </c>
      <c r="J168" s="16"/>
      <c r="K168"/>
      <c r="T168" s="9"/>
      <c r="U168" s="9"/>
      <c r="V168" s="9"/>
      <c r="W168" s="9"/>
      <c r="X168" s="9"/>
      <c r="Y168" s="9"/>
      <c r="Z168" s="9"/>
      <c r="AA168" s="9"/>
      <c r="AB168" s="9"/>
      <c r="AC168" s="9"/>
      <c r="AD168" s="9"/>
    </row>
    <row r="169" spans="2:30" ht="14.25" customHeight="1">
      <c r="C169" s="597" t="s">
        <v>351</v>
      </c>
      <c r="D169" s="252"/>
      <c r="E169" s="576">
        <v>505.14326</v>
      </c>
      <c r="F169" s="576">
        <v>2060.4641799999999</v>
      </c>
      <c r="G169" s="576">
        <f>('Clés de répartition'!D166*'Clés de répartition'!I166)/('Clés de répartition'!$D$134*'Clés de répartition'!$I$134)*$G$174</f>
        <v>1373.1860939904109</v>
      </c>
      <c r="J169" s="16"/>
      <c r="K169"/>
      <c r="T169" s="9"/>
      <c r="U169" s="9"/>
      <c r="V169" s="9"/>
      <c r="W169" s="9"/>
      <c r="X169" s="9"/>
      <c r="Y169" s="9"/>
      <c r="Z169" s="9"/>
      <c r="AA169" s="9"/>
      <c r="AB169" s="9"/>
      <c r="AC169" s="9"/>
      <c r="AD169" s="9"/>
    </row>
    <row r="170" spans="2:30" ht="14.25" customHeight="1">
      <c r="C170" s="597" t="s">
        <v>856</v>
      </c>
      <c r="D170" s="252"/>
      <c r="E170" s="576">
        <v>345.41419999999999</v>
      </c>
      <c r="F170" s="576">
        <v>0</v>
      </c>
      <c r="G170" s="576">
        <f>('Clés de répartition'!D167*'Clés de répartition'!I167)/('Clés de répartition'!$D$134*'Clés de répartition'!$I$134)*$G$174</f>
        <v>1339.137199331507</v>
      </c>
      <c r="J170" s="16"/>
      <c r="K170"/>
      <c r="T170" s="9"/>
      <c r="U170" s="9"/>
      <c r="V170" s="9"/>
      <c r="W170" s="9"/>
      <c r="X170" s="9"/>
      <c r="Y170" s="9"/>
      <c r="Z170" s="9"/>
      <c r="AA170" s="9"/>
      <c r="AB170" s="9"/>
      <c r="AC170" s="9"/>
      <c r="AD170" s="9"/>
    </row>
    <row r="171" spans="2:30" ht="14.25" customHeight="1">
      <c r="C171" s="597" t="s">
        <v>178</v>
      </c>
      <c r="D171" s="252"/>
      <c r="E171" s="576">
        <v>3070.13492000013</v>
      </c>
      <c r="F171" s="576">
        <v>17359.30834</v>
      </c>
      <c r="G171" s="576">
        <f>('Clés de répartition'!D168*'Clés de répartition'!I168)/('Clés de répartition'!$D$134*'Clés de répartition'!$I$134)*$G$174</f>
        <v>1462.768253203272</v>
      </c>
      <c r="J171" s="16"/>
      <c r="K171"/>
      <c r="T171" s="9"/>
      <c r="U171" s="9"/>
      <c r="V171" s="9"/>
      <c r="W171" s="9"/>
      <c r="X171" s="9"/>
      <c r="Y171" s="9"/>
      <c r="Z171" s="9"/>
      <c r="AA171" s="9"/>
      <c r="AB171" s="9"/>
      <c r="AC171" s="9"/>
      <c r="AD171" s="9"/>
    </row>
    <row r="172" spans="2:30" ht="14.25" customHeight="1">
      <c r="C172" s="597" t="s">
        <v>179</v>
      </c>
      <c r="D172" s="252"/>
      <c r="E172" s="576">
        <v>543.01967000000002</v>
      </c>
      <c r="F172" s="576">
        <v>9.8799999999999999E-2</v>
      </c>
      <c r="G172" s="576">
        <f>('Clés de répartition'!D169*'Clés de répartition'!I169)/('Clés de répartition'!$D$134*'Clés de répartition'!$I$134)*$G$174</f>
        <v>2076.6918990796421</v>
      </c>
      <c r="J172" s="16"/>
      <c r="K172"/>
      <c r="T172" s="9"/>
      <c r="U172" s="9"/>
      <c r="V172" s="9"/>
      <c r="W172" s="9"/>
      <c r="X172" s="9"/>
      <c r="Y172" s="9"/>
      <c r="Z172" s="9"/>
      <c r="AA172" s="9"/>
      <c r="AB172" s="9"/>
      <c r="AC172" s="9"/>
      <c r="AD172" s="9"/>
    </row>
    <row r="173" spans="2:30" ht="14.25" customHeight="1">
      <c r="C173" s="63" t="s">
        <v>40</v>
      </c>
      <c r="E173" s="576">
        <f>SUM(E154:E172)</f>
        <v>11333.832290000129</v>
      </c>
      <c r="F173" s="576">
        <f>SUM(F154:F172)</f>
        <v>23948.492539999999</v>
      </c>
      <c r="G173" s="576">
        <f>SUM(G154:G172)</f>
        <v>30369.652066131806</v>
      </c>
      <c r="J173" s="16"/>
      <c r="K173"/>
      <c r="T173" s="9"/>
      <c r="U173" s="9"/>
      <c r="V173" s="9"/>
      <c r="W173" s="9"/>
      <c r="X173" s="9"/>
      <c r="Y173" s="9"/>
      <c r="Z173" s="9"/>
      <c r="AA173" s="9"/>
      <c r="AB173" s="9"/>
      <c r="AC173" s="9"/>
      <c r="AD173" s="9"/>
    </row>
    <row r="174" spans="2:30" ht="14.25" customHeight="1">
      <c r="C174" s="493" t="s">
        <v>939</v>
      </c>
      <c r="E174" s="576">
        <v>11557.8</v>
      </c>
      <c r="F174" s="576">
        <v>24100.5</v>
      </c>
      <c r="G174" s="576">
        <v>35850</v>
      </c>
      <c r="J174" s="16"/>
      <c r="K174"/>
      <c r="T174" s="9"/>
      <c r="U174" s="9"/>
      <c r="V174" s="9"/>
      <c r="W174" s="9"/>
      <c r="X174" s="9"/>
      <c r="Y174" s="9"/>
      <c r="Z174" s="9"/>
      <c r="AA174" s="9"/>
      <c r="AB174" s="9"/>
      <c r="AC174" s="9"/>
      <c r="AD174" s="9"/>
    </row>
    <row r="175" spans="2:30" ht="14.25" customHeight="1">
      <c r="B175" s="52"/>
      <c r="C175" s="493"/>
      <c r="E175" s="52"/>
      <c r="F175" s="52"/>
      <c r="G175" s="577"/>
      <c r="H175" s="52"/>
      <c r="K175"/>
      <c r="T175" s="9"/>
      <c r="U175" s="9"/>
      <c r="V175" s="9"/>
      <c r="W175" s="9"/>
      <c r="X175" s="9"/>
      <c r="Y175" s="9"/>
      <c r="Z175" s="9"/>
      <c r="AA175" s="9"/>
      <c r="AB175" s="9"/>
      <c r="AC175" s="9"/>
      <c r="AD175" s="9"/>
    </row>
    <row r="176" spans="2:30" ht="14.25" customHeight="1">
      <c r="B176" s="52"/>
      <c r="C176" s="513"/>
      <c r="E176" s="4"/>
      <c r="F176" s="4"/>
      <c r="G176" s="4"/>
      <c r="H176" s="4"/>
      <c r="I176" s="4"/>
      <c r="J176" s="4"/>
      <c r="K176" s="4"/>
      <c r="T176" s="9"/>
      <c r="U176" s="9"/>
      <c r="V176" s="9"/>
      <c r="W176" s="9"/>
      <c r="X176" s="9"/>
      <c r="Y176" s="9"/>
      <c r="Z176" s="9"/>
      <c r="AA176" s="9"/>
      <c r="AB176" s="9"/>
      <c r="AC176" s="9"/>
      <c r="AD176" s="9"/>
    </row>
    <row r="177" spans="1:30" ht="14.25" customHeight="1">
      <c r="C177" s="80" t="s">
        <v>940</v>
      </c>
      <c r="E177" s="509"/>
      <c r="F177" s="509"/>
      <c r="G177" s="509"/>
      <c r="H177" s="509"/>
      <c r="I177" s="509"/>
      <c r="J177" s="16"/>
      <c r="K177" s="16"/>
      <c r="T177" s="9"/>
      <c r="U177" s="9"/>
      <c r="V177" s="9"/>
      <c r="W177" s="9"/>
      <c r="X177" s="9"/>
      <c r="Y177" s="9"/>
      <c r="Z177" s="9"/>
      <c r="AA177" s="9"/>
      <c r="AB177" s="9"/>
      <c r="AC177" s="9"/>
      <c r="AD177" s="9"/>
    </row>
    <row r="178" spans="1:30" ht="14.25" customHeight="1">
      <c r="C178" s="45" t="s">
        <v>68</v>
      </c>
      <c r="E178" s="509"/>
      <c r="F178" s="509"/>
      <c r="G178" s="509"/>
      <c r="H178" s="509"/>
      <c r="I178" s="509"/>
      <c r="J178" s="134"/>
      <c r="K178" s="16"/>
      <c r="T178" s="9"/>
      <c r="U178" s="9"/>
      <c r="V178" s="9"/>
      <c r="W178" s="9"/>
      <c r="X178" s="9"/>
      <c r="Y178" s="9"/>
      <c r="Z178" s="9"/>
      <c r="AA178" s="9"/>
      <c r="AB178" s="9"/>
      <c r="AC178" s="9"/>
      <c r="AD178" s="9"/>
    </row>
    <row r="179" spans="1:30" ht="14.25" customHeight="1">
      <c r="B179" s="52"/>
      <c r="C179" s="493"/>
      <c r="E179" s="52"/>
      <c r="F179" s="52"/>
      <c r="G179" s="52"/>
      <c r="H179" s="52"/>
      <c r="K179"/>
      <c r="T179" s="9"/>
      <c r="U179" s="9"/>
      <c r="V179" s="9"/>
      <c r="W179" s="9"/>
      <c r="X179" s="9"/>
      <c r="Y179" s="9"/>
      <c r="Z179" s="9"/>
      <c r="AA179" s="9"/>
      <c r="AB179" s="9"/>
      <c r="AC179" s="9"/>
      <c r="AD179" s="9"/>
    </row>
    <row r="180" spans="1:30" ht="14.25" customHeight="1">
      <c r="C180" s="513"/>
      <c r="E180" s="512"/>
      <c r="F180" s="512"/>
      <c r="G180" s="512"/>
      <c r="H180" s="512"/>
      <c r="I180" s="512"/>
      <c r="J180" s="134"/>
      <c r="K180" s="16"/>
      <c r="T180" s="9"/>
      <c r="U180" s="9"/>
      <c r="V180" s="9"/>
      <c r="W180" s="9"/>
      <c r="X180" s="9"/>
      <c r="Y180" s="9"/>
      <c r="Z180" s="9"/>
      <c r="AA180" s="9"/>
      <c r="AB180" s="9"/>
      <c r="AC180" s="9"/>
      <c r="AD180" s="9"/>
    </row>
    <row r="181" spans="1:30" ht="14.25" customHeight="1">
      <c r="C181" s="493"/>
      <c r="K181"/>
      <c r="T181" s="9"/>
      <c r="U181" s="9"/>
      <c r="V181" s="9"/>
      <c r="W181" s="9"/>
      <c r="X181" s="9"/>
      <c r="Y181" s="9"/>
      <c r="Z181" s="9"/>
      <c r="AA181" s="9"/>
      <c r="AB181" s="9"/>
      <c r="AC181" s="9"/>
      <c r="AD181" s="9"/>
    </row>
    <row r="182" spans="1:30" ht="14.25" customHeight="1">
      <c r="B182" s="52"/>
      <c r="C182" s="493"/>
      <c r="E182" s="512"/>
      <c r="F182" s="52"/>
      <c r="G182" s="52"/>
      <c r="H182" s="52"/>
      <c r="K182"/>
      <c r="T182" s="9"/>
      <c r="U182" s="9"/>
      <c r="V182" s="9"/>
      <c r="W182" s="9"/>
      <c r="X182" s="9"/>
      <c r="Y182" s="9"/>
      <c r="Z182" s="9"/>
      <c r="AA182" s="9"/>
      <c r="AB182" s="9"/>
      <c r="AC182" s="9"/>
      <c r="AD182" s="9"/>
    </row>
    <row r="183" spans="1:30" ht="14.25" customHeight="1">
      <c r="B183" s="52"/>
      <c r="C183" s="493"/>
      <c r="E183" s="509"/>
      <c r="F183" s="509"/>
      <c r="G183" s="509"/>
      <c r="H183" s="509"/>
      <c r="K183"/>
      <c r="T183" s="9"/>
      <c r="U183" s="9"/>
      <c r="V183" s="9"/>
      <c r="W183" s="9"/>
      <c r="X183" s="9"/>
      <c r="Y183" s="9"/>
      <c r="Z183" s="9"/>
      <c r="AA183" s="9"/>
      <c r="AB183" s="9"/>
      <c r="AC183" s="9"/>
      <c r="AD183" s="9"/>
    </row>
    <row r="184" spans="1:30" ht="14.25" customHeight="1">
      <c r="B184" s="52"/>
      <c r="C184" s="493"/>
      <c r="E184" s="509"/>
      <c r="F184" s="509"/>
      <c r="G184" s="509"/>
      <c r="H184" s="509"/>
      <c r="K184"/>
      <c r="T184" s="9"/>
      <c r="U184" s="9"/>
      <c r="V184" s="9"/>
      <c r="W184" s="9"/>
      <c r="X184" s="9"/>
      <c r="Y184" s="9"/>
      <c r="Z184" s="9"/>
      <c r="AA184" s="9"/>
      <c r="AB184" s="9"/>
      <c r="AC184" s="9"/>
      <c r="AD184" s="9"/>
    </row>
    <row r="185" spans="1:30" ht="14.25" customHeight="1">
      <c r="B185" s="52"/>
      <c r="C185" s="493"/>
      <c r="E185" s="52"/>
      <c r="F185" s="52"/>
      <c r="G185" s="52"/>
      <c r="H185" s="52"/>
      <c r="K185"/>
      <c r="T185" s="9"/>
      <c r="U185" s="9"/>
      <c r="V185" s="9"/>
      <c r="W185" s="9"/>
      <c r="X185" s="9"/>
      <c r="Y185" s="9"/>
      <c r="Z185" s="9"/>
      <c r="AA185" s="9"/>
      <c r="AB185" s="9"/>
      <c r="AC185" s="9"/>
      <c r="AD185" s="9"/>
    </row>
    <row r="186" spans="1:30" ht="14.25" customHeight="1">
      <c r="B186" s="52"/>
      <c r="C186" s="513"/>
      <c r="E186" s="510"/>
      <c r="F186" s="510"/>
      <c r="G186" s="510"/>
      <c r="H186" s="510"/>
      <c r="K186"/>
      <c r="T186" s="9"/>
      <c r="U186" s="9"/>
      <c r="V186" s="9"/>
      <c r="W186" s="9"/>
      <c r="X186" s="9"/>
      <c r="Y186" s="9"/>
      <c r="Z186" s="9"/>
      <c r="AA186" s="9"/>
      <c r="AB186" s="9"/>
      <c r="AC186" s="9"/>
      <c r="AD186" s="9"/>
    </row>
    <row r="187" spans="1:30" ht="14.25" customHeight="1">
      <c r="B187" s="52"/>
      <c r="C187" s="493"/>
      <c r="E187" s="52"/>
      <c r="F187" s="52"/>
      <c r="G187" s="52"/>
      <c r="H187" s="52"/>
      <c r="K187"/>
      <c r="T187" s="9"/>
      <c r="U187" s="9"/>
      <c r="V187" s="9"/>
      <c r="W187" s="9"/>
      <c r="X187" s="9"/>
      <c r="Y187" s="9"/>
      <c r="Z187" s="9"/>
      <c r="AA187" s="9"/>
      <c r="AB187" s="9"/>
      <c r="AC187" s="9"/>
      <c r="AD187" s="9"/>
    </row>
    <row r="188" spans="1:30" ht="14.25" customHeight="1">
      <c r="B188" s="52"/>
      <c r="C188" s="513"/>
      <c r="E188" s="511"/>
      <c r="F188" s="511"/>
      <c r="G188" s="511"/>
      <c r="H188" s="511"/>
      <c r="K188"/>
      <c r="T188" s="9"/>
      <c r="U188" s="9"/>
      <c r="V188" s="9"/>
      <c r="W188" s="9"/>
      <c r="X188" s="9"/>
      <c r="Y188" s="9"/>
      <c r="Z188" s="9"/>
      <c r="AA188" s="9"/>
      <c r="AB188" s="9"/>
      <c r="AC188" s="9"/>
      <c r="AD188" s="9"/>
    </row>
    <row r="189" spans="1:30" ht="14.25" customHeight="1">
      <c r="A189" s="114"/>
      <c r="B189" s="52"/>
      <c r="T189" s="9"/>
      <c r="U189" s="9"/>
      <c r="V189" s="9"/>
      <c r="W189" s="9"/>
      <c r="X189" s="9"/>
      <c r="Y189" s="9"/>
      <c r="Z189" s="9"/>
      <c r="AA189" s="9"/>
      <c r="AB189" s="9"/>
      <c r="AC189" s="9"/>
      <c r="AD189" s="9"/>
    </row>
    <row r="190" spans="1:30" ht="14.25" customHeight="1">
      <c r="A190" s="114"/>
      <c r="B190" s="52"/>
      <c r="T190" s="9"/>
      <c r="U190" s="9"/>
      <c r="V190" s="9"/>
      <c r="W190" s="9"/>
      <c r="X190" s="9"/>
      <c r="Y190" s="9"/>
      <c r="Z190" s="9"/>
      <c r="AA190" s="9"/>
      <c r="AB190" s="9"/>
      <c r="AC190" s="9"/>
      <c r="AD190" s="9"/>
    </row>
    <row r="191" spans="1:30" ht="14.25" customHeight="1">
      <c r="A191" s="114"/>
      <c r="B191" s="52"/>
      <c r="C191" s="52"/>
      <c r="D191" s="52"/>
      <c r="E191" s="52"/>
      <c r="F191" s="52"/>
      <c r="G191" s="52"/>
      <c r="H191" s="52"/>
      <c r="I191" s="52"/>
      <c r="J191" s="52"/>
      <c r="K191"/>
      <c r="T191" s="9"/>
      <c r="U191" s="9"/>
      <c r="V191" s="9"/>
      <c r="W191" s="9"/>
      <c r="X191" s="9"/>
      <c r="Y191" s="9"/>
      <c r="Z191" s="9"/>
      <c r="AA191" s="9"/>
      <c r="AB191" s="9"/>
      <c r="AC191" s="9"/>
      <c r="AD191" s="9"/>
    </row>
    <row r="192" spans="1:30" ht="14.25" customHeight="1">
      <c r="A192" s="114"/>
      <c r="B192" s="52"/>
      <c r="C192" s="52"/>
      <c r="D192" s="514"/>
      <c r="E192" s="52"/>
      <c r="F192" s="52"/>
      <c r="G192" s="52"/>
      <c r="H192" s="52"/>
      <c r="I192" s="52"/>
      <c r="J192" s="52"/>
      <c r="K192"/>
      <c r="T192" s="9"/>
      <c r="U192" s="9"/>
      <c r="V192" s="9"/>
      <c r="W192" s="9"/>
      <c r="X192" s="9"/>
      <c r="Y192" s="9"/>
      <c r="Z192" s="9"/>
      <c r="AA192" s="9"/>
      <c r="AB192" s="9"/>
      <c r="AC192" s="9"/>
      <c r="AD192" s="9"/>
    </row>
    <row r="193" spans="1:30" ht="14.25" customHeight="1">
      <c r="A193" s="114"/>
      <c r="B193" s="52"/>
      <c r="C193" s="52"/>
      <c r="D193" s="52"/>
      <c r="E193" s="52"/>
      <c r="F193" s="52"/>
      <c r="G193" s="52"/>
      <c r="H193" s="52"/>
      <c r="I193" s="52"/>
      <c r="J193" s="52"/>
      <c r="K193"/>
      <c r="T193" s="9"/>
      <c r="U193" s="9"/>
      <c r="V193" s="9"/>
      <c r="W193" s="9"/>
      <c r="X193" s="9"/>
      <c r="Y193" s="9"/>
      <c r="Z193" s="9"/>
      <c r="AA193" s="9"/>
      <c r="AB193" s="9"/>
      <c r="AC193" s="9"/>
      <c r="AD193" s="9"/>
    </row>
    <row r="194" spans="1:30" ht="14.25" customHeight="1">
      <c r="A194" s="114"/>
      <c r="B194" s="52"/>
      <c r="C194" s="52"/>
      <c r="D194" s="52"/>
      <c r="E194" s="52"/>
      <c r="F194" s="52"/>
      <c r="G194" s="52"/>
      <c r="H194" s="52"/>
      <c r="I194" s="52"/>
      <c r="J194" s="52"/>
      <c r="K194"/>
      <c r="T194" s="9"/>
      <c r="U194" s="9"/>
      <c r="V194" s="9"/>
      <c r="W194" s="9"/>
      <c r="X194" s="9"/>
      <c r="Y194" s="9"/>
      <c r="Z194" s="9"/>
      <c r="AA194" s="9"/>
      <c r="AB194" s="9"/>
      <c r="AC194" s="9"/>
      <c r="AD194" s="9"/>
    </row>
    <row r="195" spans="1:30" ht="14.25" customHeight="1">
      <c r="A195" s="114"/>
      <c r="B195" s="52"/>
      <c r="C195" s="52"/>
      <c r="D195" s="52"/>
      <c r="E195" s="52"/>
      <c r="F195" s="52"/>
      <c r="G195" s="52"/>
      <c r="H195" s="52"/>
      <c r="I195" s="52"/>
      <c r="J195" s="52"/>
      <c r="K195"/>
      <c r="T195" s="9"/>
      <c r="U195" s="9"/>
      <c r="V195" s="9"/>
      <c r="W195" s="9"/>
      <c r="X195" s="9"/>
      <c r="Y195" s="9"/>
      <c r="Z195" s="9"/>
      <c r="AA195" s="9"/>
      <c r="AB195" s="9"/>
      <c r="AC195" s="9"/>
      <c r="AD195" s="9"/>
    </row>
    <row r="196" spans="1:30" ht="14.25" customHeight="1">
      <c r="A196" s="114"/>
      <c r="B196" s="52"/>
      <c r="C196" s="52"/>
      <c r="D196" s="52"/>
      <c r="E196" s="52"/>
      <c r="F196" s="52"/>
      <c r="G196" s="52"/>
      <c r="H196" s="52"/>
      <c r="I196" s="52"/>
      <c r="J196" s="52"/>
      <c r="K196"/>
      <c r="T196" s="9"/>
      <c r="U196" s="9"/>
      <c r="V196" s="9"/>
      <c r="W196" s="9"/>
      <c r="X196" s="9"/>
      <c r="Y196" s="9"/>
      <c r="Z196" s="9"/>
      <c r="AA196" s="9"/>
      <c r="AB196" s="9"/>
      <c r="AC196" s="9"/>
      <c r="AD196" s="9"/>
    </row>
    <row r="197" spans="1:30" ht="14.25" customHeight="1">
      <c r="A197" s="114"/>
      <c r="B197" s="52"/>
      <c r="C197" s="52"/>
      <c r="D197" s="52"/>
      <c r="E197" s="52"/>
      <c r="F197" s="52"/>
      <c r="G197" s="52"/>
      <c r="H197" s="52"/>
      <c r="I197" s="52"/>
      <c r="J197" s="52"/>
      <c r="K197"/>
      <c r="T197" s="9"/>
      <c r="U197" s="9"/>
      <c r="V197" s="9"/>
      <c r="W197" s="9"/>
      <c r="X197" s="9"/>
      <c r="Y197" s="9"/>
      <c r="Z197" s="9"/>
      <c r="AA197" s="9"/>
      <c r="AB197" s="9"/>
      <c r="AC197" s="9"/>
      <c r="AD197" s="9"/>
    </row>
    <row r="198" spans="1:30" ht="14.25" customHeight="1">
      <c r="A198" s="114"/>
      <c r="B198" s="52"/>
      <c r="C198" s="52"/>
      <c r="D198" s="52"/>
      <c r="E198" s="52"/>
      <c r="F198" s="52"/>
      <c r="G198" s="52"/>
      <c r="H198" s="52"/>
      <c r="I198" s="52"/>
      <c r="J198" s="52"/>
      <c r="K198"/>
      <c r="T198" s="9"/>
      <c r="U198" s="9"/>
      <c r="V198" s="9"/>
      <c r="W198" s="9"/>
      <c r="X198" s="9"/>
      <c r="Y198" s="9"/>
      <c r="Z198" s="9"/>
      <c r="AA198" s="9"/>
      <c r="AB198" s="9"/>
      <c r="AC198" s="9"/>
      <c r="AD198" s="9"/>
    </row>
    <row r="199" spans="1:30" ht="14.25" customHeight="1">
      <c r="A199" s="114"/>
      <c r="B199" s="52"/>
      <c r="C199" s="52"/>
      <c r="D199" s="52"/>
      <c r="E199" s="52"/>
      <c r="F199" s="52"/>
      <c r="G199" s="52"/>
      <c r="H199" s="52"/>
      <c r="I199" s="52"/>
      <c r="J199" s="52"/>
      <c r="K199"/>
      <c r="M199" s="9"/>
      <c r="N199" s="9"/>
      <c r="O199" s="9"/>
      <c r="P199" s="9"/>
      <c r="Q199" s="9"/>
      <c r="R199" s="9"/>
      <c r="S199" s="9"/>
      <c r="T199" s="9"/>
      <c r="U199" s="9"/>
      <c r="V199" s="9"/>
      <c r="W199" s="9"/>
      <c r="X199" s="9"/>
      <c r="Y199" s="9"/>
      <c r="Z199" s="9"/>
      <c r="AA199" s="9"/>
      <c r="AB199" s="9"/>
      <c r="AC199" s="9"/>
      <c r="AD199" s="9"/>
    </row>
    <row r="200" spans="1:30" ht="14.25" customHeight="1">
      <c r="A200" s="114"/>
      <c r="B200" s="52"/>
      <c r="C200" s="52"/>
      <c r="D200" s="52"/>
      <c r="E200" s="52"/>
      <c r="F200" s="52"/>
      <c r="G200" s="52"/>
      <c r="H200" s="52"/>
      <c r="I200" s="52"/>
      <c r="J200" s="52"/>
      <c r="K200"/>
      <c r="M200" s="9"/>
      <c r="N200" s="9"/>
      <c r="O200" s="9"/>
      <c r="P200" s="9"/>
      <c r="Q200" s="9"/>
      <c r="R200" s="9"/>
      <c r="S200" s="9"/>
      <c r="T200" s="9"/>
      <c r="U200" s="9"/>
      <c r="V200" s="9"/>
      <c r="W200" s="9"/>
      <c r="X200" s="9"/>
      <c r="Y200" s="9"/>
      <c r="Z200" s="9"/>
      <c r="AA200" s="9"/>
      <c r="AB200" s="9"/>
      <c r="AC200" s="9"/>
      <c r="AD200" s="9"/>
    </row>
    <row r="201" spans="1:30" ht="14.25" customHeight="1">
      <c r="A201" s="114"/>
      <c r="B201" s="52"/>
      <c r="C201" s="52"/>
      <c r="D201" s="52"/>
      <c r="E201" s="52"/>
      <c r="F201" s="52"/>
      <c r="G201" s="52"/>
      <c r="H201" s="52"/>
      <c r="I201" s="52"/>
      <c r="J201" s="52"/>
      <c r="K201"/>
      <c r="M201" s="9"/>
      <c r="N201" s="9"/>
      <c r="O201" s="9"/>
      <c r="P201" s="9"/>
      <c r="Q201" s="9"/>
      <c r="R201" s="9"/>
      <c r="S201" s="9"/>
      <c r="T201" s="9"/>
      <c r="U201" s="9"/>
      <c r="V201" s="9"/>
      <c r="W201" s="9"/>
      <c r="X201" s="9"/>
      <c r="Y201" s="9"/>
      <c r="Z201" s="9"/>
      <c r="AA201" s="9"/>
      <c r="AB201" s="9"/>
      <c r="AC201" s="9"/>
      <c r="AD201" s="9"/>
    </row>
    <row r="202" spans="1:30" ht="14.25" customHeight="1">
      <c r="A202" s="114"/>
      <c r="B202" s="52"/>
      <c r="C202" s="52"/>
      <c r="D202" s="52"/>
      <c r="E202" s="52"/>
      <c r="F202" s="52"/>
      <c r="G202" s="52"/>
      <c r="H202" s="52"/>
      <c r="I202" s="52"/>
      <c r="J202" s="52"/>
      <c r="K202"/>
      <c r="M202" s="9"/>
      <c r="N202" s="9"/>
      <c r="O202" s="9"/>
      <c r="P202" s="9"/>
      <c r="Q202" s="9"/>
      <c r="R202" s="9"/>
      <c r="S202" s="9"/>
      <c r="T202" s="9"/>
      <c r="U202" s="9"/>
      <c r="V202" s="9"/>
      <c r="W202" s="9"/>
      <c r="X202" s="9"/>
      <c r="Y202" s="9"/>
      <c r="Z202" s="9"/>
      <c r="AA202" s="9"/>
      <c r="AB202" s="9"/>
      <c r="AC202" s="9"/>
      <c r="AD202" s="9"/>
    </row>
    <row r="203" spans="1:30" ht="14.25" customHeight="1">
      <c r="A203" s="114"/>
      <c r="B203" s="52"/>
      <c r="C203" s="52"/>
      <c r="D203" s="52"/>
      <c r="E203" s="52"/>
      <c r="F203" s="52"/>
      <c r="G203" s="52"/>
      <c r="H203" s="52"/>
      <c r="I203" s="52"/>
      <c r="J203" s="52"/>
      <c r="K203"/>
      <c r="M203" s="9"/>
      <c r="N203" s="9"/>
      <c r="O203" s="9"/>
      <c r="P203" s="9"/>
      <c r="Q203" s="9"/>
      <c r="R203" s="9"/>
      <c r="S203" s="9"/>
      <c r="T203" s="9"/>
      <c r="U203" s="9"/>
      <c r="V203" s="9"/>
      <c r="W203" s="9"/>
      <c r="X203" s="9"/>
      <c r="Y203" s="9"/>
      <c r="Z203" s="9"/>
      <c r="AA203" s="9"/>
      <c r="AB203" s="9"/>
      <c r="AC203" s="9"/>
      <c r="AD203" s="9"/>
    </row>
    <row r="204" spans="1:30" ht="14.25" customHeight="1">
      <c r="A204" s="114"/>
      <c r="B204" s="52"/>
      <c r="C204" s="52"/>
      <c r="D204" s="52"/>
      <c r="E204" s="52"/>
      <c r="F204" s="52"/>
      <c r="G204" s="52"/>
      <c r="H204" s="52"/>
      <c r="I204" s="52"/>
      <c r="J204" s="52"/>
      <c r="K204"/>
      <c r="M204" s="9"/>
      <c r="N204" s="9"/>
      <c r="O204" s="9"/>
      <c r="P204" s="9"/>
      <c r="Q204" s="9"/>
      <c r="R204" s="9"/>
      <c r="S204" s="9"/>
      <c r="T204" s="9"/>
      <c r="U204" s="9"/>
      <c r="V204" s="9"/>
      <c r="W204" s="9"/>
      <c r="X204" s="9"/>
      <c r="Y204" s="9"/>
      <c r="Z204" s="9"/>
      <c r="AA204" s="9"/>
      <c r="AB204" s="9"/>
      <c r="AC204" s="9"/>
      <c r="AD204" s="9"/>
    </row>
    <row r="205" spans="1:30" ht="14.25" customHeight="1">
      <c r="A205" s="114"/>
      <c r="B205" s="52"/>
      <c r="C205" s="52"/>
      <c r="D205" s="52"/>
      <c r="E205" s="52"/>
      <c r="F205" s="52"/>
      <c r="G205" s="52"/>
      <c r="H205" s="52"/>
      <c r="I205" s="52"/>
      <c r="J205" s="52"/>
      <c r="K205"/>
      <c r="M205" s="9"/>
      <c r="N205" s="9"/>
      <c r="O205" s="9"/>
      <c r="P205" s="9"/>
      <c r="Q205" s="9"/>
      <c r="R205" s="9"/>
      <c r="S205" s="9"/>
      <c r="T205" s="9"/>
      <c r="U205" s="9"/>
      <c r="V205" s="9"/>
      <c r="W205" s="9"/>
      <c r="X205" s="9"/>
      <c r="Y205" s="9"/>
      <c r="Z205" s="9"/>
      <c r="AA205" s="9"/>
      <c r="AB205" s="9"/>
      <c r="AC205" s="9"/>
      <c r="AD205" s="9"/>
    </row>
    <row r="206" spans="1:30" ht="14.25" customHeight="1">
      <c r="A206" s="114"/>
      <c r="B206" s="52"/>
      <c r="C206" s="52"/>
      <c r="D206" s="52"/>
      <c r="E206" s="52"/>
      <c r="F206" s="52"/>
      <c r="G206" s="52"/>
      <c r="H206" s="52"/>
      <c r="I206" s="52"/>
      <c r="J206" s="52"/>
      <c r="K206"/>
      <c r="M206" s="9"/>
      <c r="N206" s="9"/>
      <c r="O206" s="9"/>
      <c r="P206" s="9"/>
      <c r="Q206" s="9"/>
      <c r="R206" s="9"/>
      <c r="S206" s="9"/>
      <c r="T206" s="9"/>
      <c r="U206" s="9"/>
      <c r="V206" s="9"/>
      <c r="W206" s="9"/>
      <c r="X206" s="9"/>
      <c r="Y206" s="9"/>
      <c r="Z206" s="9"/>
      <c r="AA206" s="9"/>
      <c r="AB206" s="9"/>
      <c r="AC206" s="9"/>
      <c r="AD206" s="9"/>
    </row>
    <row r="207" spans="1:30" ht="14.25" customHeight="1">
      <c r="A207" s="114"/>
      <c r="B207" s="52"/>
      <c r="C207" s="52"/>
      <c r="D207" s="52"/>
      <c r="E207" s="52"/>
      <c r="F207" s="52"/>
      <c r="G207" s="52"/>
      <c r="H207" s="52"/>
      <c r="I207" s="52"/>
      <c r="J207" s="52"/>
      <c r="K207"/>
      <c r="M207" s="9"/>
      <c r="N207" s="9"/>
      <c r="O207" s="9"/>
      <c r="P207" s="9"/>
      <c r="Q207" s="9"/>
      <c r="R207" s="9"/>
      <c r="S207" s="9"/>
      <c r="T207" s="9"/>
      <c r="U207" s="9"/>
      <c r="V207" s="9"/>
      <c r="W207" s="9"/>
      <c r="X207" s="9"/>
      <c r="Y207" s="9"/>
      <c r="Z207" s="9"/>
      <c r="AA207" s="9"/>
      <c r="AB207" s="9"/>
      <c r="AC207" s="9"/>
      <c r="AD207" s="9"/>
    </row>
    <row r="208" spans="1:30" ht="14.25" customHeight="1">
      <c r="A208" s="114"/>
      <c r="B208" s="52"/>
      <c r="C208" s="52"/>
      <c r="D208" s="52"/>
      <c r="E208" s="52"/>
      <c r="F208" s="52"/>
      <c r="G208" s="52"/>
      <c r="H208" s="52"/>
      <c r="I208" s="52"/>
      <c r="J208" s="52"/>
      <c r="K208"/>
      <c r="M208" s="9"/>
      <c r="N208" s="9"/>
      <c r="O208" s="9"/>
      <c r="P208" s="9"/>
      <c r="Q208" s="9"/>
      <c r="R208" s="9"/>
      <c r="S208" s="9"/>
      <c r="T208" s="9"/>
      <c r="U208" s="9"/>
      <c r="V208" s="9"/>
      <c r="W208" s="9"/>
      <c r="X208" s="9"/>
      <c r="Y208" s="9"/>
      <c r="Z208" s="9"/>
      <c r="AA208" s="9"/>
      <c r="AB208" s="9"/>
      <c r="AC208" s="9"/>
      <c r="AD208" s="9"/>
    </row>
    <row r="209" spans="1:30" ht="14.25" customHeight="1">
      <c r="A209" s="114"/>
      <c r="B209" s="52"/>
      <c r="C209" s="52"/>
      <c r="D209" s="52"/>
      <c r="E209" s="52"/>
      <c r="F209" s="52"/>
      <c r="G209" s="52"/>
      <c r="H209" s="52"/>
      <c r="I209" s="52"/>
      <c r="J209" s="52"/>
      <c r="K209"/>
      <c r="M209" s="9"/>
      <c r="N209" s="9"/>
      <c r="O209" s="9"/>
      <c r="P209" s="9"/>
      <c r="Q209" s="9"/>
      <c r="R209" s="9"/>
      <c r="S209" s="9"/>
      <c r="T209" s="9"/>
      <c r="U209" s="9"/>
      <c r="V209" s="9"/>
      <c r="W209" s="9"/>
      <c r="X209" s="9"/>
      <c r="Y209" s="9"/>
      <c r="Z209" s="9"/>
      <c r="AA209" s="9"/>
      <c r="AB209" s="9"/>
      <c r="AC209" s="9"/>
      <c r="AD209" s="9"/>
    </row>
    <row r="210" spans="1:30" ht="14.25" customHeight="1">
      <c r="A210" s="114"/>
      <c r="B210" s="52"/>
      <c r="C210" s="52"/>
      <c r="D210" s="52"/>
      <c r="E210" s="52"/>
      <c r="F210" s="52"/>
      <c r="G210" s="52"/>
      <c r="H210" s="52"/>
      <c r="I210" s="52"/>
      <c r="J210" s="52"/>
      <c r="K210"/>
      <c r="M210" s="9"/>
      <c r="N210" s="9"/>
      <c r="O210" s="9"/>
      <c r="P210" s="9"/>
      <c r="Q210" s="9"/>
      <c r="R210" s="9"/>
      <c r="S210" s="9"/>
      <c r="T210" s="9"/>
      <c r="U210" s="9"/>
      <c r="V210" s="9"/>
      <c r="W210" s="9"/>
      <c r="X210" s="9"/>
      <c r="Y210" s="9"/>
      <c r="Z210" s="9"/>
      <c r="AA210" s="9"/>
      <c r="AB210" s="9"/>
      <c r="AC210" s="9"/>
      <c r="AD210" s="9"/>
    </row>
    <row r="211" spans="1:30" ht="14.25" customHeight="1">
      <c r="A211" s="114"/>
      <c r="B211" s="52"/>
      <c r="C211" s="52"/>
      <c r="D211" s="52"/>
      <c r="E211" s="52"/>
      <c r="F211" s="52"/>
      <c r="G211" s="52"/>
      <c r="H211" s="52"/>
      <c r="I211" s="52"/>
      <c r="J211" s="52"/>
      <c r="K211"/>
      <c r="M211" s="9"/>
      <c r="N211" s="9"/>
      <c r="O211" s="9"/>
      <c r="P211" s="9"/>
      <c r="Q211" s="9"/>
      <c r="R211" s="9"/>
      <c r="S211" s="9"/>
      <c r="T211" s="9"/>
      <c r="U211" s="9"/>
      <c r="V211" s="9"/>
      <c r="W211" s="9"/>
      <c r="X211" s="9"/>
      <c r="Y211" s="9"/>
      <c r="Z211" s="9"/>
      <c r="AA211" s="9"/>
      <c r="AB211" s="9"/>
      <c r="AC211" s="9"/>
      <c r="AD211" s="9"/>
    </row>
    <row r="212" spans="1:30" ht="14.25" customHeight="1">
      <c r="A212" s="114"/>
      <c r="B212" s="52"/>
      <c r="C212" s="52"/>
      <c r="D212" s="52"/>
      <c r="E212" s="52"/>
      <c r="F212" s="52"/>
      <c r="G212" s="52"/>
      <c r="H212" s="52"/>
      <c r="I212" s="52"/>
      <c r="J212" s="52"/>
      <c r="K212"/>
      <c r="M212" s="9"/>
      <c r="N212" s="9"/>
      <c r="O212" s="9"/>
      <c r="P212" s="9"/>
      <c r="Q212" s="9"/>
      <c r="R212" s="9"/>
      <c r="S212" s="9"/>
      <c r="T212" s="9"/>
      <c r="U212" s="9"/>
      <c r="V212" s="9"/>
      <c r="W212" s="9"/>
      <c r="X212" s="9"/>
      <c r="Y212" s="9"/>
      <c r="Z212" s="9"/>
      <c r="AA212" s="9"/>
      <c r="AB212" s="9"/>
      <c r="AC212" s="9"/>
      <c r="AD212" s="9"/>
    </row>
    <row r="213" spans="1:30" ht="14.25" customHeight="1">
      <c r="A213" s="114"/>
      <c r="B213" s="52"/>
      <c r="C213" s="52"/>
      <c r="D213" s="52"/>
      <c r="E213" s="52"/>
      <c r="F213" s="52"/>
      <c r="G213" s="52"/>
      <c r="H213" s="52"/>
      <c r="I213" s="52"/>
      <c r="J213" s="52"/>
      <c r="K213"/>
      <c r="M213" s="9"/>
      <c r="N213" s="9"/>
      <c r="O213" s="9"/>
      <c r="P213" s="9"/>
      <c r="Q213" s="9"/>
      <c r="R213" s="9"/>
      <c r="S213" s="9"/>
      <c r="T213" s="9"/>
      <c r="U213" s="9"/>
      <c r="V213" s="9"/>
      <c r="W213" s="9"/>
      <c r="X213" s="9"/>
      <c r="Y213" s="9"/>
      <c r="Z213" s="9"/>
      <c r="AA213" s="9"/>
      <c r="AB213" s="9"/>
      <c r="AC213" s="9"/>
      <c r="AD213" s="9"/>
    </row>
    <row r="214" spans="1:30" ht="14.25" customHeight="1">
      <c r="A214" s="114"/>
      <c r="B214" s="52"/>
      <c r="C214" s="52"/>
      <c r="D214" s="52"/>
      <c r="E214" s="52"/>
      <c r="F214" s="52"/>
      <c r="G214" s="52"/>
      <c r="H214" s="52"/>
      <c r="I214" s="52"/>
      <c r="J214" s="52"/>
      <c r="K214"/>
      <c r="M214" s="9"/>
      <c r="N214" s="9"/>
      <c r="O214" s="9"/>
      <c r="P214" s="9"/>
      <c r="Q214" s="9"/>
      <c r="R214" s="9"/>
      <c r="S214" s="9"/>
      <c r="T214" s="9"/>
      <c r="U214" s="9"/>
      <c r="V214" s="9"/>
      <c r="W214" s="9"/>
      <c r="X214" s="9"/>
      <c r="Y214" s="9"/>
      <c r="Z214" s="9"/>
      <c r="AA214" s="9"/>
      <c r="AB214" s="9"/>
      <c r="AC214" s="9"/>
      <c r="AD214" s="9"/>
    </row>
    <row r="215" spans="1:30" ht="14.25" customHeight="1">
      <c r="A215" s="114"/>
      <c r="B215" s="52"/>
      <c r="C215" s="52"/>
      <c r="D215" s="52"/>
      <c r="E215" s="52"/>
      <c r="F215" s="52"/>
      <c r="G215" s="52"/>
      <c r="H215" s="52"/>
      <c r="I215" s="52"/>
      <c r="J215" s="52"/>
      <c r="K215"/>
      <c r="M215" s="9"/>
      <c r="N215" s="9"/>
      <c r="O215" s="9"/>
      <c r="P215" s="9"/>
      <c r="Q215" s="9"/>
      <c r="R215" s="9"/>
      <c r="S215" s="9"/>
      <c r="T215" s="9"/>
      <c r="U215" s="9"/>
      <c r="V215" s="9"/>
      <c r="W215" s="9"/>
      <c r="X215" s="9"/>
      <c r="Y215" s="9"/>
      <c r="Z215" s="9"/>
      <c r="AA215" s="9"/>
      <c r="AB215" s="9"/>
      <c r="AC215" s="9"/>
      <c r="AD215" s="9"/>
    </row>
    <row r="216" spans="1:30" ht="14.25" customHeight="1">
      <c r="A216" s="114"/>
      <c r="B216" s="52"/>
      <c r="C216" s="52"/>
      <c r="D216" s="52"/>
      <c r="E216" s="52"/>
      <c r="F216" s="52"/>
      <c r="G216" s="52"/>
      <c r="H216" s="52"/>
      <c r="I216" s="52"/>
      <c r="J216" s="52"/>
      <c r="K216"/>
      <c r="M216" s="9"/>
      <c r="N216" s="9"/>
      <c r="O216" s="9"/>
      <c r="P216" s="9"/>
      <c r="Q216" s="9"/>
      <c r="R216" s="9"/>
      <c r="S216" s="9"/>
      <c r="T216" s="9"/>
      <c r="U216" s="9"/>
      <c r="V216" s="9"/>
      <c r="W216" s="9"/>
      <c r="X216" s="9"/>
      <c r="Y216" s="9"/>
      <c r="Z216" s="9"/>
      <c r="AA216" s="9"/>
      <c r="AB216" s="9"/>
      <c r="AC216" s="9"/>
      <c r="AD216" s="9"/>
    </row>
    <row r="217" spans="1:30" ht="14.25" customHeight="1">
      <c r="A217" s="114"/>
      <c r="B217" s="52"/>
      <c r="C217" s="52"/>
      <c r="D217" s="52"/>
      <c r="E217" s="52"/>
      <c r="F217" s="52"/>
      <c r="G217" s="52"/>
      <c r="H217" s="52"/>
      <c r="I217" s="52"/>
      <c r="J217" s="52"/>
      <c r="K217"/>
      <c r="M217" s="9"/>
      <c r="N217" s="9"/>
      <c r="O217" s="9"/>
      <c r="P217" s="9"/>
      <c r="Q217" s="9"/>
      <c r="R217" s="9"/>
      <c r="S217" s="9"/>
      <c r="T217" s="9"/>
      <c r="U217" s="9"/>
      <c r="V217" s="9"/>
      <c r="W217" s="9"/>
      <c r="X217" s="9"/>
      <c r="Y217" s="9"/>
      <c r="Z217" s="9"/>
      <c r="AA217" s="9"/>
      <c r="AB217" s="9"/>
      <c r="AC217" s="9"/>
      <c r="AD217" s="9"/>
    </row>
    <row r="218" spans="1:30" ht="14.25" customHeight="1">
      <c r="A218" s="114"/>
      <c r="B218" s="52"/>
      <c r="C218" s="52"/>
      <c r="D218" s="52"/>
      <c r="E218" s="52"/>
      <c r="F218" s="52"/>
      <c r="G218" s="52"/>
      <c r="H218" s="52"/>
      <c r="I218" s="52"/>
      <c r="J218" s="52"/>
      <c r="K218"/>
      <c r="M218" s="9"/>
      <c r="N218" s="9"/>
      <c r="O218" s="9"/>
      <c r="P218" s="9"/>
      <c r="Q218" s="9"/>
      <c r="R218" s="9"/>
      <c r="S218" s="9"/>
      <c r="T218" s="9"/>
      <c r="U218" s="9"/>
      <c r="V218" s="9"/>
      <c r="W218" s="9"/>
      <c r="X218" s="9"/>
      <c r="Y218" s="9"/>
      <c r="Z218" s="9"/>
      <c r="AA218" s="9"/>
      <c r="AB218" s="9"/>
      <c r="AC218" s="9"/>
      <c r="AD218" s="9"/>
    </row>
    <row r="219" spans="1:30" ht="14.25" customHeight="1">
      <c r="A219" s="114"/>
      <c r="B219" s="52"/>
      <c r="C219" s="52"/>
      <c r="D219" s="52"/>
      <c r="E219" s="52"/>
      <c r="F219" s="52"/>
      <c r="G219" s="52"/>
      <c r="H219" s="52"/>
      <c r="I219" s="52"/>
      <c r="J219" s="52"/>
      <c r="K219"/>
      <c r="M219" s="9"/>
      <c r="N219" s="9"/>
      <c r="O219" s="9"/>
      <c r="P219" s="9"/>
      <c r="Q219" s="9"/>
      <c r="R219" s="9"/>
      <c r="S219" s="9"/>
      <c r="T219" s="9"/>
      <c r="U219" s="9"/>
      <c r="V219" s="9"/>
      <c r="W219" s="9"/>
      <c r="X219" s="9"/>
      <c r="Y219" s="9"/>
      <c r="Z219" s="9"/>
      <c r="AA219" s="9"/>
      <c r="AB219" s="9"/>
      <c r="AC219" s="9"/>
      <c r="AD219" s="9"/>
    </row>
    <row r="220" spans="1:30" ht="14.25" customHeight="1">
      <c r="A220" s="114"/>
      <c r="B220" s="52"/>
      <c r="C220" s="52"/>
      <c r="D220" s="52"/>
      <c r="E220" s="52"/>
      <c r="F220" s="52"/>
      <c r="G220" s="52"/>
      <c r="H220" s="52"/>
      <c r="I220" s="52"/>
      <c r="J220" s="52"/>
      <c r="K220"/>
      <c r="M220" s="9"/>
      <c r="N220" s="9"/>
      <c r="O220" s="9"/>
      <c r="P220" s="9"/>
      <c r="Q220" s="9"/>
      <c r="R220" s="9"/>
      <c r="S220" s="9"/>
      <c r="T220" s="9"/>
      <c r="U220" s="9"/>
      <c r="V220" s="9"/>
      <c r="W220" s="9"/>
      <c r="X220" s="9"/>
      <c r="Y220" s="9"/>
      <c r="Z220" s="9"/>
      <c r="AA220" s="9"/>
      <c r="AB220" s="9"/>
      <c r="AC220" s="9"/>
      <c r="AD220" s="9"/>
    </row>
    <row r="221" spans="1:30" ht="14.25" customHeight="1">
      <c r="A221" s="114"/>
      <c r="B221" s="52"/>
      <c r="C221" s="52"/>
      <c r="D221" s="52"/>
      <c r="E221" s="52"/>
      <c r="F221" s="52"/>
      <c r="G221" s="52"/>
      <c r="H221" s="52"/>
      <c r="I221" s="52"/>
      <c r="J221" s="52"/>
      <c r="K221"/>
      <c r="M221" s="9"/>
      <c r="N221" s="9"/>
      <c r="O221" s="9"/>
      <c r="P221" s="9"/>
      <c r="Q221" s="9"/>
      <c r="R221" s="9"/>
      <c r="S221" s="9"/>
      <c r="T221" s="9"/>
      <c r="U221" s="9"/>
      <c r="V221" s="9"/>
      <c r="W221" s="9"/>
      <c r="X221" s="9"/>
      <c r="Y221" s="9"/>
      <c r="Z221" s="9"/>
      <c r="AA221" s="9"/>
      <c r="AB221" s="9"/>
      <c r="AC221" s="9"/>
      <c r="AD221" s="9"/>
    </row>
    <row r="222" spans="1:30" ht="14.25" customHeight="1">
      <c r="A222" s="114"/>
      <c r="B222" s="52"/>
      <c r="C222" s="52"/>
      <c r="D222" s="52"/>
      <c r="E222" s="52"/>
      <c r="F222" s="52"/>
      <c r="G222" s="52"/>
      <c r="H222" s="52"/>
      <c r="I222" s="52"/>
      <c r="J222" s="52"/>
      <c r="K222"/>
      <c r="M222" s="9"/>
      <c r="N222" s="9"/>
      <c r="O222" s="9"/>
      <c r="P222" s="9"/>
      <c r="Q222" s="9"/>
      <c r="R222" s="9"/>
      <c r="S222" s="9"/>
      <c r="T222" s="9"/>
      <c r="U222" s="9"/>
      <c r="V222" s="9"/>
      <c r="W222" s="9"/>
      <c r="X222" s="9"/>
      <c r="Y222" s="9"/>
      <c r="Z222" s="9"/>
      <c r="AA222" s="9"/>
      <c r="AB222" s="9"/>
      <c r="AC222" s="9"/>
      <c r="AD222" s="9"/>
    </row>
    <row r="223" spans="1:30" ht="14.25" customHeight="1">
      <c r="A223" s="114"/>
      <c r="B223" s="52"/>
      <c r="C223" s="52"/>
      <c r="D223" s="52"/>
      <c r="E223" s="52"/>
      <c r="F223" s="52"/>
      <c r="G223" s="52"/>
      <c r="H223" s="52"/>
      <c r="I223" s="52"/>
      <c r="J223" s="52"/>
      <c r="K223"/>
      <c r="M223" s="9"/>
      <c r="N223" s="9"/>
      <c r="O223" s="9"/>
      <c r="P223" s="9"/>
      <c r="Q223" s="9"/>
      <c r="R223" s="9"/>
      <c r="S223" s="9"/>
      <c r="T223" s="9"/>
      <c r="U223" s="9"/>
      <c r="V223" s="9"/>
      <c r="W223" s="9"/>
      <c r="X223" s="9"/>
      <c r="Y223" s="9"/>
      <c r="Z223" s="9"/>
      <c r="AA223" s="9"/>
      <c r="AB223" s="9"/>
      <c r="AC223" s="9"/>
      <c r="AD223" s="9"/>
    </row>
    <row r="224" spans="1:30" ht="14.25" customHeight="1">
      <c r="A224" s="114"/>
      <c r="B224" s="52"/>
      <c r="C224" s="52"/>
      <c r="D224" s="52"/>
      <c r="E224" s="52"/>
      <c r="F224" s="52"/>
      <c r="G224" s="52"/>
      <c r="H224" s="52"/>
      <c r="I224" s="52"/>
      <c r="J224" s="52"/>
      <c r="K224"/>
      <c r="M224" s="9"/>
      <c r="N224" s="9"/>
      <c r="O224" s="9"/>
      <c r="P224" s="9"/>
      <c r="Q224" s="9"/>
      <c r="R224" s="9"/>
      <c r="S224" s="9"/>
      <c r="T224" s="9"/>
      <c r="U224" s="9"/>
      <c r="V224" s="9"/>
      <c r="W224" s="9"/>
      <c r="X224" s="9"/>
      <c r="Y224" s="9"/>
      <c r="Z224" s="9"/>
      <c r="AA224" s="9"/>
      <c r="AB224" s="9"/>
      <c r="AC224" s="9"/>
      <c r="AD224" s="9"/>
    </row>
    <row r="225" spans="1:30" ht="14.25" customHeight="1">
      <c r="A225" s="114"/>
      <c r="B225" s="52"/>
      <c r="C225" s="52"/>
      <c r="D225" s="52"/>
      <c r="E225" s="52"/>
      <c r="F225" s="52"/>
      <c r="G225" s="52"/>
      <c r="H225" s="52"/>
      <c r="I225" s="52"/>
      <c r="J225" s="52"/>
      <c r="K225"/>
      <c r="M225" s="9"/>
      <c r="N225" s="9"/>
      <c r="O225" s="9"/>
      <c r="P225" s="9"/>
      <c r="Q225" s="9"/>
      <c r="R225" s="9"/>
      <c r="S225" s="9"/>
      <c r="T225" s="9"/>
      <c r="U225" s="9"/>
      <c r="V225" s="9"/>
      <c r="W225" s="9"/>
      <c r="X225" s="9"/>
      <c r="Y225" s="9"/>
      <c r="Z225" s="9"/>
      <c r="AA225" s="9"/>
      <c r="AB225" s="9"/>
      <c r="AC225" s="9"/>
      <c r="AD225" s="9"/>
    </row>
    <row r="226" spans="1:30" ht="14.25" customHeight="1">
      <c r="A226" s="114"/>
      <c r="B226" s="52"/>
      <c r="C226" s="52"/>
      <c r="D226" s="52"/>
      <c r="E226" s="52"/>
      <c r="F226" s="52"/>
      <c r="G226" s="52"/>
      <c r="H226" s="52"/>
      <c r="I226" s="52"/>
      <c r="J226" s="52"/>
      <c r="K226"/>
      <c r="M226" s="9"/>
      <c r="N226" s="9"/>
      <c r="O226" s="9"/>
      <c r="P226" s="9"/>
      <c r="Q226" s="9"/>
      <c r="R226" s="9"/>
      <c r="S226" s="9"/>
      <c r="T226" s="9"/>
      <c r="U226" s="9"/>
      <c r="V226" s="9"/>
      <c r="W226" s="9"/>
      <c r="X226" s="9"/>
      <c r="Y226" s="9"/>
      <c r="Z226" s="9"/>
      <c r="AA226" s="9"/>
      <c r="AB226" s="9"/>
      <c r="AC226" s="9"/>
      <c r="AD226" s="9"/>
    </row>
    <row r="227" spans="1:30" ht="14.25" customHeight="1">
      <c r="A227" s="114"/>
      <c r="B227" s="52"/>
      <c r="C227" s="52"/>
      <c r="D227" s="52"/>
      <c r="E227" s="52"/>
      <c r="F227" s="52"/>
      <c r="G227" s="52"/>
      <c r="H227" s="52"/>
      <c r="I227" s="52"/>
      <c r="J227" s="52"/>
      <c r="K227"/>
      <c r="M227" s="9"/>
      <c r="N227" s="9"/>
      <c r="O227" s="9"/>
      <c r="P227" s="9"/>
      <c r="Q227" s="9"/>
      <c r="R227" s="9"/>
      <c r="S227" s="9"/>
      <c r="T227" s="9"/>
      <c r="U227" s="9"/>
      <c r="V227" s="9"/>
      <c r="W227" s="9"/>
      <c r="X227" s="9"/>
      <c r="Y227" s="9"/>
      <c r="Z227" s="9"/>
      <c r="AA227" s="9"/>
      <c r="AB227" s="9"/>
      <c r="AC227" s="9"/>
      <c r="AD227" s="9"/>
    </row>
    <row r="228" spans="1:30" ht="14.25" customHeight="1">
      <c r="A228" s="114"/>
      <c r="B228" s="52"/>
      <c r="C228" s="52"/>
      <c r="D228" s="52"/>
      <c r="E228" s="52"/>
      <c r="F228" s="52"/>
      <c r="G228" s="52"/>
      <c r="H228" s="52"/>
      <c r="I228" s="52"/>
      <c r="J228" s="52"/>
      <c r="K228"/>
      <c r="M228" s="9"/>
      <c r="N228" s="9"/>
      <c r="O228" s="9"/>
      <c r="P228" s="9"/>
      <c r="Q228" s="9"/>
      <c r="R228" s="9"/>
      <c r="S228" s="9"/>
      <c r="T228" s="9"/>
      <c r="U228" s="9"/>
      <c r="V228" s="9"/>
      <c r="W228" s="9"/>
      <c r="X228" s="9"/>
      <c r="Y228" s="9"/>
      <c r="Z228" s="9"/>
      <c r="AA228" s="9"/>
      <c r="AB228" s="9"/>
      <c r="AC228" s="9"/>
      <c r="AD228" s="9"/>
    </row>
    <row r="229" spans="1:30" ht="14.25" customHeight="1">
      <c r="A229" s="114"/>
      <c r="B229" s="52"/>
      <c r="C229" s="52"/>
      <c r="D229" s="52"/>
      <c r="E229" s="52"/>
      <c r="F229" s="52"/>
      <c r="G229" s="52"/>
      <c r="H229" s="52"/>
      <c r="I229" s="52"/>
      <c r="J229" s="52"/>
      <c r="K229"/>
      <c r="M229" s="9"/>
      <c r="N229" s="9"/>
      <c r="O229" s="9"/>
      <c r="P229" s="9"/>
      <c r="Q229" s="9"/>
      <c r="R229" s="9"/>
      <c r="S229" s="9"/>
      <c r="T229" s="9"/>
      <c r="U229" s="9"/>
      <c r="V229" s="9"/>
      <c r="W229" s="9"/>
      <c r="X229" s="9"/>
      <c r="Y229" s="9"/>
      <c r="Z229" s="9"/>
      <c r="AA229" s="9"/>
      <c r="AB229" s="9"/>
      <c r="AC229" s="9"/>
      <c r="AD229" s="9"/>
    </row>
    <row r="230" spans="1:30" ht="14.25" customHeight="1">
      <c r="A230" s="114"/>
      <c r="B230" s="52"/>
      <c r="C230" s="52"/>
      <c r="D230" s="52"/>
      <c r="E230" s="52"/>
      <c r="F230" s="52"/>
      <c r="G230" s="52"/>
      <c r="H230" s="52"/>
      <c r="I230" s="52"/>
      <c r="J230" s="52"/>
      <c r="K230"/>
      <c r="M230" s="9"/>
      <c r="N230" s="9"/>
      <c r="O230" s="9"/>
      <c r="P230" s="9"/>
      <c r="Q230" s="9"/>
      <c r="R230" s="9"/>
      <c r="S230" s="9"/>
      <c r="T230" s="9"/>
      <c r="U230" s="9"/>
      <c r="V230" s="9"/>
      <c r="W230" s="9"/>
      <c r="X230" s="9"/>
      <c r="Y230" s="9"/>
      <c r="Z230" s="9"/>
      <c r="AA230" s="9"/>
      <c r="AB230" s="9"/>
      <c r="AC230" s="9"/>
      <c r="AD230" s="9"/>
    </row>
    <row r="231" spans="1:30" ht="14.25" customHeight="1">
      <c r="A231" s="114"/>
      <c r="B231" s="52"/>
      <c r="C231" s="52"/>
      <c r="D231" s="52"/>
      <c r="E231" s="52"/>
      <c r="F231" s="52"/>
      <c r="G231" s="52"/>
      <c r="H231" s="52"/>
      <c r="I231" s="52"/>
      <c r="J231" s="52"/>
      <c r="K231"/>
      <c r="M231" s="9"/>
      <c r="N231" s="9"/>
      <c r="O231" s="9"/>
      <c r="P231" s="9"/>
      <c r="Q231" s="9"/>
      <c r="R231" s="9"/>
      <c r="S231" s="9"/>
      <c r="T231" s="9"/>
      <c r="U231" s="9"/>
      <c r="V231" s="9"/>
      <c r="W231" s="9"/>
      <c r="X231" s="9"/>
      <c r="Y231" s="9"/>
      <c r="Z231" s="9"/>
      <c r="AA231" s="9"/>
      <c r="AB231" s="9"/>
      <c r="AC231" s="9"/>
      <c r="AD231" s="9"/>
    </row>
    <row r="232" spans="1:30" ht="14.25" customHeight="1">
      <c r="A232" s="11"/>
      <c r="B232" s="12"/>
      <c r="C232" s="12"/>
      <c r="D232" s="12"/>
      <c r="E232" s="12"/>
      <c r="F232" s="12"/>
      <c r="G232" s="12"/>
      <c r="H232" s="12"/>
      <c r="I232" s="12"/>
      <c r="J232" s="12"/>
      <c r="K232" s="13"/>
      <c r="L232" s="9"/>
      <c r="M232" s="9"/>
      <c r="N232" s="9"/>
      <c r="O232" s="9"/>
      <c r="P232" s="9"/>
      <c r="Q232" s="9"/>
      <c r="R232" s="9"/>
      <c r="S232" s="9"/>
      <c r="T232" s="9"/>
      <c r="U232" s="9"/>
      <c r="V232" s="9"/>
      <c r="W232" s="9"/>
      <c r="X232" s="9"/>
      <c r="Y232" s="9"/>
      <c r="Z232" s="9"/>
      <c r="AA232" s="9"/>
      <c r="AB232" s="9"/>
      <c r="AC232" s="9"/>
      <c r="AD232" s="9"/>
    </row>
    <row r="233" spans="1:30" ht="14.25" customHeight="1">
      <c r="A233" s="11"/>
      <c r="B233" s="12"/>
      <c r="C233" s="12"/>
      <c r="D233" s="12"/>
      <c r="E233" s="12"/>
      <c r="F233" s="12"/>
      <c r="G233" s="12"/>
      <c r="H233" s="12"/>
      <c r="I233" s="12"/>
      <c r="J233" s="12"/>
      <c r="K233" s="13"/>
      <c r="L233" s="9"/>
      <c r="M233" s="9"/>
      <c r="N233" s="9"/>
      <c r="O233" s="9"/>
      <c r="P233" s="9"/>
      <c r="Q233" s="9"/>
      <c r="R233" s="9"/>
      <c r="S233" s="9"/>
      <c r="T233" s="9"/>
      <c r="U233" s="9"/>
      <c r="V233" s="9"/>
      <c r="W233" s="9"/>
      <c r="X233" s="9"/>
      <c r="Y233" s="9"/>
      <c r="Z233" s="9"/>
      <c r="AA233" s="9"/>
      <c r="AB233" s="9"/>
      <c r="AC233" s="9"/>
      <c r="AD233" s="9"/>
    </row>
    <row r="234" spans="1:30" ht="14.25" customHeight="1">
      <c r="A234" s="11"/>
      <c r="B234" s="12"/>
      <c r="C234" s="12"/>
      <c r="D234" s="12"/>
      <c r="E234" s="12"/>
      <c r="F234" s="12"/>
      <c r="G234" s="12"/>
      <c r="H234" s="12"/>
      <c r="I234" s="12"/>
      <c r="J234" s="12"/>
      <c r="K234" s="13"/>
      <c r="L234" s="9"/>
      <c r="M234" s="9"/>
      <c r="N234" s="9"/>
      <c r="O234" s="9"/>
      <c r="P234" s="9"/>
      <c r="Q234" s="9"/>
      <c r="R234" s="9"/>
      <c r="S234" s="9"/>
      <c r="T234" s="9"/>
      <c r="U234" s="9"/>
      <c r="V234" s="9"/>
      <c r="W234" s="9"/>
      <c r="X234" s="9"/>
      <c r="Y234" s="9"/>
      <c r="Z234" s="9"/>
      <c r="AA234" s="9"/>
      <c r="AB234" s="9"/>
      <c r="AC234" s="9"/>
      <c r="AD234" s="9"/>
    </row>
    <row r="235" spans="1:30" ht="14.25" customHeight="1">
      <c r="A235" s="11"/>
      <c r="B235" s="12"/>
      <c r="C235" s="12"/>
      <c r="D235" s="12"/>
      <c r="E235" s="12"/>
      <c r="F235" s="12"/>
      <c r="G235" s="12"/>
      <c r="H235" s="12"/>
      <c r="I235" s="12"/>
      <c r="J235" s="12"/>
      <c r="K235" s="13"/>
      <c r="L235" s="9"/>
      <c r="M235" s="9"/>
      <c r="N235" s="9"/>
      <c r="O235" s="9"/>
      <c r="P235" s="9"/>
      <c r="Q235" s="9"/>
      <c r="R235" s="9"/>
      <c r="S235" s="9"/>
      <c r="T235" s="9"/>
      <c r="U235" s="9"/>
      <c r="V235" s="9"/>
      <c r="W235" s="9"/>
      <c r="X235" s="9"/>
      <c r="Y235" s="9"/>
      <c r="Z235" s="9"/>
      <c r="AA235" s="9"/>
      <c r="AB235" s="9"/>
      <c r="AC235" s="9"/>
      <c r="AD235" s="9"/>
    </row>
    <row r="236" spans="1:30" ht="14.25" customHeight="1">
      <c r="A236" s="11"/>
      <c r="B236" s="12"/>
      <c r="C236" s="12"/>
      <c r="D236" s="12"/>
      <c r="E236" s="12"/>
      <c r="F236" s="12"/>
      <c r="G236" s="12"/>
      <c r="H236" s="12"/>
      <c r="I236" s="12"/>
      <c r="J236" s="12"/>
      <c r="K236" s="13"/>
      <c r="L236" s="9"/>
      <c r="M236" s="9"/>
      <c r="N236" s="9"/>
      <c r="O236" s="9"/>
      <c r="P236" s="9"/>
      <c r="Q236" s="9"/>
      <c r="R236" s="9"/>
      <c r="S236" s="9"/>
      <c r="T236" s="9"/>
      <c r="U236" s="9"/>
      <c r="V236" s="9"/>
      <c r="W236" s="9"/>
      <c r="X236" s="9"/>
      <c r="Y236" s="9"/>
      <c r="Z236" s="9"/>
      <c r="AA236" s="9"/>
      <c r="AB236" s="9"/>
      <c r="AC236" s="9"/>
      <c r="AD236" s="9"/>
    </row>
    <row r="237" spans="1:30" ht="14.25" customHeight="1">
      <c r="A237" s="11"/>
      <c r="B237" s="12"/>
      <c r="C237" s="12"/>
      <c r="D237" s="12"/>
      <c r="E237" s="12"/>
      <c r="F237" s="12"/>
      <c r="G237" s="12"/>
      <c r="H237" s="12"/>
      <c r="I237" s="12"/>
      <c r="J237" s="12"/>
      <c r="K237" s="13"/>
      <c r="L237" s="9"/>
      <c r="M237" s="9"/>
      <c r="N237" s="9"/>
      <c r="O237" s="9"/>
      <c r="P237" s="9"/>
      <c r="Q237" s="9"/>
      <c r="R237" s="9"/>
      <c r="S237" s="9"/>
      <c r="T237" s="9"/>
      <c r="U237" s="9"/>
      <c r="V237" s="9"/>
      <c r="W237" s="9"/>
      <c r="X237" s="9"/>
      <c r="Y237" s="9"/>
      <c r="Z237" s="9"/>
      <c r="AA237" s="9"/>
      <c r="AB237" s="9"/>
      <c r="AC237" s="9"/>
      <c r="AD237" s="9"/>
    </row>
    <row r="238" spans="1:30" ht="14.25" customHeight="1">
      <c r="A238" s="11"/>
      <c r="B238" s="12"/>
      <c r="C238" s="12"/>
      <c r="D238" s="12"/>
      <c r="E238" s="12"/>
      <c r="F238" s="12"/>
      <c r="G238" s="12"/>
      <c r="H238" s="12"/>
      <c r="I238" s="12"/>
      <c r="J238" s="12"/>
      <c r="K238" s="13"/>
      <c r="L238" s="9"/>
      <c r="M238" s="9"/>
      <c r="N238" s="9"/>
      <c r="O238" s="9"/>
      <c r="P238" s="9"/>
      <c r="Q238" s="9"/>
      <c r="R238" s="9"/>
      <c r="S238" s="9"/>
      <c r="T238" s="9"/>
      <c r="U238" s="9"/>
      <c r="V238" s="9"/>
      <c r="W238" s="9"/>
      <c r="X238" s="9"/>
      <c r="Y238" s="9"/>
      <c r="Z238" s="9"/>
      <c r="AA238" s="9"/>
      <c r="AB238" s="9"/>
      <c r="AC238" s="9"/>
      <c r="AD238" s="9"/>
    </row>
    <row r="239" spans="1:30" ht="14.25" customHeight="1">
      <c r="A239" s="11"/>
      <c r="B239" s="12"/>
      <c r="C239" s="12"/>
      <c r="D239" s="12"/>
      <c r="E239" s="12"/>
      <c r="F239" s="12"/>
      <c r="G239" s="12"/>
      <c r="H239" s="12"/>
      <c r="I239" s="12"/>
      <c r="J239" s="12"/>
      <c r="K239" s="13"/>
      <c r="L239" s="9"/>
      <c r="M239" s="9"/>
      <c r="N239" s="9"/>
      <c r="O239" s="9"/>
      <c r="P239" s="9"/>
      <c r="Q239" s="9"/>
      <c r="R239" s="9"/>
      <c r="S239" s="9"/>
      <c r="T239" s="9"/>
      <c r="U239" s="9"/>
      <c r="V239" s="9"/>
      <c r="W239" s="9"/>
      <c r="X239" s="9"/>
      <c r="Y239" s="9"/>
      <c r="Z239" s="9"/>
      <c r="AA239" s="9"/>
      <c r="AB239" s="9"/>
      <c r="AC239" s="9"/>
      <c r="AD239" s="9"/>
    </row>
    <row r="240" spans="1:30" ht="14.25" customHeight="1">
      <c r="A240" s="11"/>
      <c r="B240" s="12"/>
      <c r="C240" s="12"/>
      <c r="D240" s="12"/>
      <c r="E240" s="12"/>
      <c r="F240" s="12"/>
      <c r="G240" s="12"/>
      <c r="H240" s="12"/>
      <c r="I240" s="12"/>
      <c r="J240" s="12"/>
      <c r="K240" s="13"/>
      <c r="L240" s="9"/>
      <c r="M240" s="9"/>
      <c r="N240" s="9"/>
      <c r="O240" s="9"/>
      <c r="P240" s="9"/>
      <c r="Q240" s="9"/>
      <c r="R240" s="9"/>
      <c r="S240" s="9"/>
      <c r="T240" s="9"/>
      <c r="U240" s="9"/>
      <c r="V240" s="9"/>
      <c r="W240" s="9"/>
      <c r="X240" s="9"/>
      <c r="Y240" s="9"/>
      <c r="Z240" s="9"/>
      <c r="AA240" s="9"/>
      <c r="AB240" s="9"/>
      <c r="AC240" s="9"/>
      <c r="AD240" s="9"/>
    </row>
    <row r="241" spans="1:30" ht="14.25" customHeight="1">
      <c r="A241" s="11"/>
      <c r="B241" s="12"/>
      <c r="C241" s="12"/>
      <c r="D241" s="12"/>
      <c r="E241" s="12"/>
      <c r="F241" s="12"/>
      <c r="G241" s="12"/>
      <c r="H241" s="12"/>
      <c r="I241" s="12"/>
      <c r="J241" s="12"/>
      <c r="K241" s="13"/>
      <c r="L241" s="9"/>
      <c r="M241" s="9"/>
      <c r="N241" s="9"/>
      <c r="O241" s="9"/>
      <c r="P241" s="9"/>
      <c r="Q241" s="9"/>
      <c r="R241" s="9"/>
      <c r="S241" s="9"/>
      <c r="T241" s="9"/>
      <c r="U241" s="9"/>
      <c r="V241" s="9"/>
      <c r="W241" s="9"/>
      <c r="X241" s="9"/>
      <c r="Y241" s="9"/>
      <c r="Z241" s="9"/>
      <c r="AA241" s="9"/>
      <c r="AB241" s="9"/>
      <c r="AC241" s="9"/>
      <c r="AD241" s="9"/>
    </row>
    <row r="242" spans="1:30" ht="14.25" customHeight="1">
      <c r="A242" s="11"/>
      <c r="B242" s="12"/>
      <c r="C242" s="12"/>
      <c r="D242" s="12"/>
      <c r="E242" s="12"/>
      <c r="F242" s="12"/>
      <c r="G242" s="12"/>
      <c r="H242" s="12"/>
      <c r="I242" s="12"/>
      <c r="J242" s="12"/>
      <c r="K242" s="13"/>
      <c r="L242" s="9"/>
      <c r="M242" s="9"/>
      <c r="N242" s="9"/>
      <c r="O242" s="9"/>
      <c r="P242" s="9"/>
      <c r="Q242" s="9"/>
      <c r="R242" s="9"/>
      <c r="S242" s="9"/>
      <c r="T242" s="9"/>
      <c r="U242" s="9"/>
      <c r="V242" s="9"/>
      <c r="W242" s="9"/>
      <c r="X242" s="9"/>
      <c r="Y242" s="9"/>
      <c r="Z242" s="9"/>
      <c r="AA242" s="9"/>
      <c r="AB242" s="9"/>
      <c r="AC242" s="9"/>
      <c r="AD242" s="9"/>
    </row>
    <row r="243" spans="1:30" ht="14.25" customHeight="1">
      <c r="A243" s="11"/>
      <c r="B243" s="12"/>
      <c r="C243" s="12"/>
      <c r="D243" s="12"/>
      <c r="E243" s="12"/>
      <c r="F243" s="12"/>
      <c r="G243" s="12"/>
      <c r="H243" s="12"/>
      <c r="I243" s="12"/>
      <c r="J243" s="12"/>
      <c r="K243" s="13"/>
      <c r="L243" s="9"/>
      <c r="M243" s="9"/>
      <c r="N243" s="9"/>
      <c r="O243" s="9"/>
      <c r="P243" s="9"/>
      <c r="Q243" s="9"/>
      <c r="R243" s="9"/>
      <c r="S243" s="9"/>
      <c r="T243" s="9"/>
      <c r="U243" s="9"/>
      <c r="V243" s="9"/>
      <c r="W243" s="9"/>
      <c r="X243" s="9"/>
      <c r="Y243" s="9"/>
      <c r="Z243" s="9"/>
      <c r="AA243" s="9"/>
      <c r="AB243" s="9"/>
      <c r="AC243" s="9"/>
      <c r="AD243" s="9"/>
    </row>
    <row r="244" spans="1:30" ht="14.25" customHeight="1">
      <c r="A244" s="11"/>
      <c r="B244" s="12"/>
      <c r="C244" s="12"/>
      <c r="D244" s="12"/>
      <c r="E244" s="12"/>
      <c r="F244" s="12"/>
      <c r="G244" s="12"/>
      <c r="H244" s="12"/>
      <c r="I244" s="12"/>
      <c r="J244" s="12"/>
      <c r="K244" s="13"/>
      <c r="L244" s="9"/>
      <c r="M244" s="9"/>
      <c r="N244" s="9"/>
      <c r="O244" s="9"/>
      <c r="P244" s="9"/>
      <c r="Q244" s="9"/>
      <c r="R244" s="9"/>
      <c r="S244" s="9"/>
      <c r="T244" s="9"/>
      <c r="U244" s="9"/>
      <c r="V244" s="9"/>
      <c r="W244" s="9"/>
      <c r="X244" s="9"/>
      <c r="Y244" s="9"/>
      <c r="Z244" s="9"/>
      <c r="AA244" s="9"/>
      <c r="AB244" s="9"/>
      <c r="AC244" s="9"/>
      <c r="AD244" s="9"/>
    </row>
    <row r="245" spans="1:30" ht="14.25" customHeight="1">
      <c r="A245" s="11"/>
      <c r="B245" s="12"/>
      <c r="C245" s="12"/>
      <c r="D245" s="12"/>
      <c r="E245" s="12"/>
      <c r="F245" s="12"/>
      <c r="G245" s="12"/>
      <c r="H245" s="12"/>
      <c r="I245" s="12"/>
      <c r="J245" s="12"/>
      <c r="K245" s="13"/>
      <c r="L245" s="9"/>
      <c r="M245" s="9"/>
      <c r="N245" s="9"/>
      <c r="O245" s="9"/>
      <c r="P245" s="9"/>
      <c r="Q245" s="9"/>
      <c r="R245" s="9"/>
      <c r="S245" s="9"/>
      <c r="T245" s="9"/>
      <c r="U245" s="9"/>
      <c r="V245" s="9"/>
      <c r="W245" s="9"/>
      <c r="X245" s="9"/>
      <c r="Y245" s="9"/>
      <c r="Z245" s="9"/>
      <c r="AA245" s="9"/>
      <c r="AB245" s="9"/>
      <c r="AC245" s="9"/>
      <c r="AD245" s="9"/>
    </row>
    <row r="246" spans="1:30" ht="14.25" customHeight="1">
      <c r="A246" s="11"/>
      <c r="B246" s="12"/>
      <c r="C246" s="12"/>
      <c r="D246" s="12"/>
      <c r="E246" s="12"/>
      <c r="F246" s="12"/>
      <c r="G246" s="12"/>
      <c r="H246" s="12"/>
      <c r="I246" s="12"/>
      <c r="J246" s="12"/>
      <c r="K246" s="13"/>
      <c r="L246" s="9"/>
      <c r="M246" s="9"/>
      <c r="N246" s="9"/>
      <c r="O246" s="9"/>
      <c r="P246" s="9"/>
      <c r="Q246" s="9"/>
      <c r="R246" s="9"/>
      <c r="S246" s="9"/>
      <c r="T246" s="9"/>
      <c r="U246" s="9"/>
      <c r="V246" s="9"/>
      <c r="W246" s="9"/>
      <c r="X246" s="9"/>
      <c r="Y246" s="9"/>
      <c r="Z246" s="9"/>
      <c r="AA246" s="9"/>
      <c r="AB246" s="9"/>
      <c r="AC246" s="9"/>
      <c r="AD246" s="9"/>
    </row>
    <row r="247" spans="1:30" ht="14.25" customHeight="1">
      <c r="A247" s="11"/>
      <c r="B247" s="12"/>
      <c r="C247" s="12"/>
      <c r="D247" s="12"/>
      <c r="E247" s="12"/>
      <c r="F247" s="12"/>
      <c r="G247" s="12"/>
      <c r="H247" s="12"/>
      <c r="I247" s="12"/>
      <c r="J247" s="12"/>
      <c r="K247" s="13"/>
      <c r="L247" s="9"/>
      <c r="M247" s="9"/>
      <c r="N247" s="9"/>
      <c r="O247" s="9"/>
      <c r="P247" s="9"/>
      <c r="Q247" s="9"/>
      <c r="R247" s="9"/>
      <c r="S247" s="9"/>
      <c r="T247" s="9"/>
      <c r="U247" s="9"/>
      <c r="V247" s="9"/>
      <c r="W247" s="9"/>
      <c r="X247" s="9"/>
      <c r="Y247" s="9"/>
      <c r="Z247" s="9"/>
      <c r="AA247" s="9"/>
      <c r="AB247" s="9"/>
      <c r="AC247" s="9"/>
      <c r="AD247" s="9"/>
    </row>
    <row r="248" spans="1:30" ht="14.25" customHeight="1">
      <c r="A248" s="11"/>
      <c r="B248" s="12"/>
      <c r="C248" s="12"/>
      <c r="D248" s="12"/>
      <c r="E248" s="12"/>
      <c r="F248" s="12"/>
      <c r="G248" s="12"/>
      <c r="H248" s="12"/>
      <c r="I248" s="12"/>
      <c r="J248" s="12"/>
      <c r="K248" s="13"/>
      <c r="L248" s="9"/>
      <c r="M248" s="9"/>
      <c r="N248" s="9"/>
      <c r="O248" s="9"/>
      <c r="P248" s="9"/>
      <c r="Q248" s="9"/>
      <c r="R248" s="9"/>
      <c r="S248" s="9"/>
      <c r="T248" s="9"/>
      <c r="U248" s="9"/>
      <c r="V248" s="9"/>
      <c r="W248" s="9"/>
      <c r="X248" s="9"/>
      <c r="Y248" s="9"/>
      <c r="Z248" s="9"/>
      <c r="AA248" s="9"/>
      <c r="AB248" s="9"/>
      <c r="AC248" s="9"/>
      <c r="AD248" s="9"/>
    </row>
    <row r="249" spans="1:30" ht="14.25" customHeight="1">
      <c r="A249" s="11"/>
      <c r="B249" s="12"/>
      <c r="C249" s="12"/>
      <c r="D249" s="12"/>
      <c r="E249" s="12"/>
      <c r="F249" s="12"/>
      <c r="G249" s="12"/>
      <c r="H249" s="12"/>
      <c r="I249" s="12"/>
      <c r="J249" s="12"/>
      <c r="K249" s="13"/>
      <c r="L249" s="9"/>
      <c r="M249" s="9"/>
      <c r="N249" s="9"/>
      <c r="O249" s="9"/>
      <c r="P249" s="9"/>
      <c r="Q249" s="9"/>
      <c r="R249" s="9"/>
      <c r="S249" s="9"/>
      <c r="T249" s="9"/>
      <c r="U249" s="9"/>
      <c r="V249" s="9"/>
      <c r="W249" s="9"/>
      <c r="X249" s="9"/>
      <c r="Y249" s="9"/>
      <c r="Z249" s="9"/>
      <c r="AA249" s="9"/>
      <c r="AB249" s="9"/>
      <c r="AC249" s="9"/>
      <c r="AD249" s="9"/>
    </row>
    <row r="250" spans="1:30" ht="14.25" customHeight="1">
      <c r="A250" s="11"/>
      <c r="B250" s="12"/>
      <c r="C250" s="12"/>
      <c r="D250" s="12"/>
      <c r="E250" s="12"/>
      <c r="F250" s="12"/>
      <c r="G250" s="12"/>
      <c r="H250" s="12"/>
      <c r="I250" s="12"/>
      <c r="J250" s="12"/>
      <c r="K250" s="13"/>
      <c r="L250" s="9"/>
      <c r="M250" s="9"/>
      <c r="N250" s="9"/>
      <c r="O250" s="9"/>
      <c r="P250" s="9"/>
      <c r="Q250" s="9"/>
      <c r="R250" s="9"/>
      <c r="S250" s="9"/>
      <c r="T250" s="9"/>
      <c r="U250" s="9"/>
      <c r="V250" s="9"/>
      <c r="W250" s="9"/>
      <c r="X250" s="9"/>
      <c r="Y250" s="9"/>
      <c r="Z250" s="9"/>
      <c r="AA250" s="9"/>
      <c r="AB250" s="9"/>
      <c r="AC250" s="9"/>
      <c r="AD250" s="9"/>
    </row>
    <row r="251" spans="1:30" ht="14.25" customHeight="1">
      <c r="A251" s="11"/>
      <c r="B251" s="12"/>
      <c r="C251" s="12"/>
      <c r="D251" s="12"/>
      <c r="E251" s="12"/>
      <c r="F251" s="12"/>
      <c r="G251" s="12"/>
      <c r="H251" s="12"/>
      <c r="I251" s="12"/>
      <c r="J251" s="12"/>
      <c r="K251" s="13"/>
      <c r="L251" s="9"/>
      <c r="M251" s="9"/>
      <c r="N251" s="9"/>
      <c r="O251" s="9"/>
      <c r="P251" s="9"/>
      <c r="Q251" s="9"/>
      <c r="R251" s="9"/>
      <c r="S251" s="9"/>
      <c r="T251" s="9"/>
      <c r="U251" s="9"/>
      <c r="V251" s="9"/>
      <c r="W251" s="9"/>
      <c r="X251" s="9"/>
      <c r="Y251" s="9"/>
      <c r="Z251" s="9"/>
      <c r="AA251" s="9"/>
      <c r="AB251" s="9"/>
      <c r="AC251" s="9"/>
      <c r="AD251" s="9"/>
    </row>
    <row r="252" spans="1:30" ht="14.25" customHeight="1">
      <c r="A252" s="11"/>
      <c r="B252" s="12"/>
      <c r="C252" s="12"/>
      <c r="D252" s="12"/>
      <c r="E252" s="12"/>
      <c r="F252" s="12"/>
      <c r="G252" s="12"/>
      <c r="H252" s="12"/>
      <c r="I252" s="12"/>
      <c r="J252" s="12"/>
      <c r="K252" s="13"/>
      <c r="L252" s="9"/>
      <c r="M252" s="9"/>
      <c r="N252" s="9"/>
      <c r="O252" s="9"/>
      <c r="P252" s="9"/>
      <c r="Q252" s="9"/>
      <c r="R252" s="9"/>
      <c r="S252" s="9"/>
      <c r="T252" s="9"/>
      <c r="U252" s="9"/>
      <c r="V252" s="9"/>
      <c r="W252" s="9"/>
      <c r="X252" s="9"/>
      <c r="Y252" s="9"/>
      <c r="Z252" s="9"/>
      <c r="AA252" s="9"/>
      <c r="AB252" s="9"/>
      <c r="AC252" s="9"/>
      <c r="AD252" s="9"/>
    </row>
    <row r="253" spans="1:30" ht="14.25" customHeight="1">
      <c r="A253" s="11"/>
      <c r="B253" s="12"/>
      <c r="C253" s="12"/>
      <c r="D253" s="12"/>
      <c r="E253" s="12"/>
      <c r="F253" s="12"/>
      <c r="G253" s="12"/>
      <c r="H253" s="12"/>
      <c r="I253" s="12"/>
      <c r="J253" s="12"/>
      <c r="K253" s="13"/>
      <c r="L253" s="9"/>
      <c r="M253" s="9"/>
      <c r="N253" s="9"/>
      <c r="O253" s="9"/>
      <c r="P253" s="9"/>
      <c r="Q253" s="9"/>
      <c r="R253" s="9"/>
      <c r="S253" s="9"/>
      <c r="T253" s="9"/>
      <c r="U253" s="9"/>
      <c r="V253" s="9"/>
      <c r="W253" s="9"/>
      <c r="X253" s="9"/>
      <c r="Y253" s="9"/>
      <c r="Z253" s="9"/>
      <c r="AA253" s="9"/>
      <c r="AB253" s="9"/>
      <c r="AC253" s="9"/>
      <c r="AD253" s="9"/>
    </row>
    <row r="254" spans="1:30" ht="14.25" customHeight="1">
      <c r="A254" s="11"/>
      <c r="B254" s="12"/>
      <c r="C254" s="12"/>
      <c r="D254" s="12"/>
      <c r="E254" s="12"/>
      <c r="F254" s="12"/>
      <c r="G254" s="12"/>
      <c r="H254" s="12"/>
      <c r="I254" s="12"/>
      <c r="J254" s="12"/>
      <c r="K254" s="13"/>
      <c r="L254" s="9"/>
      <c r="M254" s="9"/>
      <c r="N254" s="9"/>
      <c r="O254" s="9"/>
      <c r="P254" s="9"/>
      <c r="Q254" s="9"/>
      <c r="R254" s="9"/>
      <c r="S254" s="9"/>
      <c r="T254" s="9"/>
      <c r="U254" s="9"/>
      <c r="V254" s="9"/>
      <c r="W254" s="9"/>
      <c r="X254" s="9"/>
      <c r="Y254" s="9"/>
      <c r="Z254" s="9"/>
      <c r="AA254" s="9"/>
      <c r="AB254" s="9"/>
      <c r="AC254" s="9"/>
      <c r="AD254" s="9"/>
    </row>
    <row r="255" spans="1:30" ht="14.25" customHeight="1">
      <c r="A255" s="11"/>
      <c r="B255" s="12"/>
      <c r="C255" s="12"/>
      <c r="D255" s="12"/>
      <c r="E255" s="12"/>
      <c r="F255" s="12"/>
      <c r="G255" s="12"/>
      <c r="H255" s="12"/>
      <c r="I255" s="12"/>
      <c r="J255" s="12"/>
      <c r="K255" s="13"/>
      <c r="L255" s="9"/>
      <c r="M255" s="9"/>
      <c r="N255" s="9"/>
      <c r="O255" s="9"/>
      <c r="P255" s="9"/>
      <c r="Q255" s="9"/>
      <c r="R255" s="9"/>
      <c r="S255" s="9"/>
      <c r="T255" s="9"/>
      <c r="U255" s="9"/>
      <c r="V255" s="9"/>
      <c r="W255" s="9"/>
      <c r="X255" s="9"/>
      <c r="Y255" s="9"/>
      <c r="Z255" s="9"/>
      <c r="AA255" s="9"/>
      <c r="AB255" s="9"/>
      <c r="AC255" s="9"/>
      <c r="AD255" s="9"/>
    </row>
    <row r="256" spans="1:30" ht="14.25" customHeight="1">
      <c r="A256" s="11"/>
      <c r="B256" s="12"/>
      <c r="C256" s="12"/>
      <c r="D256" s="12"/>
      <c r="E256" s="12"/>
      <c r="F256" s="12"/>
      <c r="G256" s="12"/>
      <c r="H256" s="12"/>
      <c r="I256" s="12"/>
      <c r="J256" s="12"/>
      <c r="K256" s="13"/>
      <c r="L256" s="9"/>
      <c r="M256" s="9"/>
      <c r="N256" s="9"/>
      <c r="O256" s="9"/>
      <c r="P256" s="9"/>
      <c r="Q256" s="9"/>
      <c r="R256" s="9"/>
      <c r="S256" s="9"/>
      <c r="T256" s="9"/>
      <c r="U256" s="9"/>
      <c r="V256" s="9"/>
      <c r="W256" s="9"/>
      <c r="X256" s="9"/>
      <c r="Y256" s="9"/>
      <c r="Z256" s="9"/>
      <c r="AA256" s="9"/>
      <c r="AB256" s="9"/>
      <c r="AC256" s="9"/>
      <c r="AD256" s="9"/>
    </row>
    <row r="257" spans="1:30" ht="14.25" customHeight="1">
      <c r="A257" s="11"/>
      <c r="B257" s="12"/>
      <c r="C257" s="12"/>
      <c r="D257" s="12"/>
      <c r="E257" s="12"/>
      <c r="F257" s="12"/>
      <c r="G257" s="12"/>
      <c r="H257" s="12"/>
      <c r="I257" s="12"/>
      <c r="J257" s="12"/>
      <c r="K257" s="13"/>
      <c r="L257" s="9"/>
      <c r="M257" s="9"/>
      <c r="N257" s="9"/>
      <c r="O257" s="9"/>
      <c r="P257" s="9"/>
      <c r="Q257" s="9"/>
      <c r="R257" s="9"/>
      <c r="S257" s="9"/>
      <c r="T257" s="9"/>
      <c r="U257" s="9"/>
      <c r="V257" s="9"/>
      <c r="W257" s="9"/>
      <c r="X257" s="9"/>
      <c r="Y257" s="9"/>
      <c r="Z257" s="9"/>
      <c r="AA257" s="9"/>
      <c r="AB257" s="9"/>
      <c r="AC257" s="9"/>
      <c r="AD257" s="9"/>
    </row>
    <row r="258" spans="1:30" ht="14.25" customHeight="1">
      <c r="A258" s="11"/>
      <c r="B258" s="12"/>
      <c r="C258" s="12"/>
      <c r="D258" s="12"/>
      <c r="E258" s="12"/>
      <c r="F258" s="12"/>
      <c r="G258" s="12"/>
      <c r="H258" s="12"/>
      <c r="I258" s="12"/>
      <c r="J258" s="12"/>
      <c r="K258" s="13"/>
      <c r="L258" s="9"/>
      <c r="M258" s="9"/>
      <c r="N258" s="9"/>
      <c r="O258" s="9"/>
      <c r="P258" s="9"/>
      <c r="Q258" s="9"/>
      <c r="R258" s="9"/>
      <c r="S258" s="9"/>
      <c r="T258" s="9"/>
      <c r="U258" s="9"/>
      <c r="V258" s="9"/>
      <c r="W258" s="9"/>
      <c r="X258" s="9"/>
      <c r="Y258" s="9"/>
      <c r="Z258" s="9"/>
      <c r="AA258" s="9"/>
      <c r="AB258" s="9"/>
      <c r="AC258" s="9"/>
      <c r="AD258" s="9"/>
    </row>
    <row r="259" spans="1:30" ht="14.25" customHeight="1">
      <c r="A259" s="11"/>
      <c r="B259" s="12"/>
      <c r="C259" s="12"/>
      <c r="D259" s="12"/>
      <c r="E259" s="12"/>
      <c r="F259" s="12"/>
      <c r="G259" s="12"/>
      <c r="H259" s="12"/>
      <c r="I259" s="12"/>
      <c r="J259" s="12"/>
      <c r="K259" s="13"/>
      <c r="L259" s="9"/>
      <c r="M259" s="9"/>
      <c r="N259" s="9"/>
      <c r="O259" s="9"/>
      <c r="P259" s="9"/>
      <c r="Q259" s="9"/>
      <c r="R259" s="9"/>
      <c r="S259" s="9"/>
      <c r="T259" s="9"/>
      <c r="U259" s="9"/>
      <c r="V259" s="9"/>
      <c r="W259" s="9"/>
      <c r="X259" s="9"/>
      <c r="Y259" s="9"/>
      <c r="Z259" s="9"/>
      <c r="AA259" s="9"/>
      <c r="AB259" s="9"/>
      <c r="AC259" s="9"/>
      <c r="AD259" s="9"/>
    </row>
    <row r="260" spans="1:30" ht="14.25" customHeight="1">
      <c r="A260" s="11"/>
      <c r="B260" s="12"/>
      <c r="C260" s="12"/>
      <c r="D260" s="12"/>
      <c r="E260" s="12"/>
      <c r="F260" s="12"/>
      <c r="G260" s="12"/>
      <c r="H260" s="12"/>
      <c r="I260" s="12"/>
      <c r="J260" s="12"/>
      <c r="K260" s="13"/>
      <c r="L260" s="9"/>
      <c r="M260" s="9"/>
      <c r="N260" s="9"/>
      <c r="O260" s="9"/>
      <c r="P260" s="9"/>
      <c r="Q260" s="9"/>
      <c r="R260" s="9"/>
      <c r="S260" s="9"/>
      <c r="T260" s="9"/>
      <c r="U260" s="9"/>
      <c r="V260" s="9"/>
      <c r="W260" s="9"/>
      <c r="X260" s="9"/>
      <c r="Y260" s="9"/>
      <c r="Z260" s="9"/>
      <c r="AA260" s="9"/>
      <c r="AB260" s="9"/>
      <c r="AC260" s="9"/>
      <c r="AD260" s="9"/>
    </row>
    <row r="261" spans="1:30" ht="14.25" customHeight="1">
      <c r="A261" s="11"/>
      <c r="B261" s="12"/>
      <c r="C261" s="12"/>
      <c r="D261" s="12"/>
      <c r="E261" s="12"/>
      <c r="F261" s="12"/>
      <c r="G261" s="12"/>
      <c r="H261" s="12"/>
      <c r="I261" s="12"/>
      <c r="J261" s="12"/>
      <c r="K261" s="13"/>
      <c r="L261" s="9"/>
      <c r="M261" s="9"/>
      <c r="N261" s="9"/>
      <c r="O261" s="9"/>
      <c r="P261" s="9"/>
      <c r="Q261" s="9"/>
      <c r="R261" s="9"/>
      <c r="S261" s="9"/>
      <c r="T261" s="9"/>
      <c r="U261" s="9"/>
      <c r="V261" s="9"/>
      <c r="W261" s="9"/>
      <c r="X261" s="9"/>
      <c r="Y261" s="9"/>
      <c r="Z261" s="9"/>
      <c r="AA261" s="9"/>
      <c r="AB261" s="9"/>
      <c r="AC261" s="9"/>
      <c r="AD261" s="9"/>
    </row>
    <row r="262" spans="1:30" ht="14.25" customHeight="1">
      <c r="A262" s="11"/>
      <c r="B262" s="12"/>
      <c r="C262" s="12"/>
      <c r="D262" s="12"/>
      <c r="E262" s="12"/>
      <c r="F262" s="12"/>
      <c r="G262" s="12"/>
      <c r="H262" s="12"/>
      <c r="I262" s="12"/>
      <c r="J262" s="12"/>
      <c r="K262" s="13"/>
      <c r="L262" s="9"/>
      <c r="M262" s="9"/>
      <c r="N262" s="9"/>
      <c r="O262" s="9"/>
      <c r="P262" s="9"/>
      <c r="Q262" s="9"/>
      <c r="R262" s="9"/>
      <c r="S262" s="9"/>
      <c r="T262" s="9"/>
      <c r="U262" s="9"/>
      <c r="V262" s="9"/>
      <c r="W262" s="9"/>
      <c r="X262" s="9"/>
      <c r="Y262" s="9"/>
      <c r="Z262" s="9"/>
      <c r="AA262" s="9"/>
      <c r="AB262" s="9"/>
      <c r="AC262" s="9"/>
      <c r="AD262" s="9"/>
    </row>
    <row r="263" spans="1:30" ht="14.25" customHeight="1">
      <c r="A263" s="11"/>
      <c r="B263" s="12"/>
      <c r="C263" s="12"/>
      <c r="D263" s="12"/>
      <c r="E263" s="12"/>
      <c r="F263" s="12"/>
      <c r="G263" s="12"/>
      <c r="H263" s="12"/>
      <c r="I263" s="12"/>
      <c r="J263" s="12"/>
      <c r="K263" s="13"/>
      <c r="L263" s="9"/>
      <c r="M263" s="9"/>
      <c r="N263" s="9"/>
      <c r="O263" s="9"/>
      <c r="P263" s="9"/>
      <c r="Q263" s="9"/>
      <c r="R263" s="9"/>
      <c r="S263" s="9"/>
      <c r="T263" s="9"/>
      <c r="U263" s="9"/>
      <c r="V263" s="9"/>
      <c r="W263" s="9"/>
      <c r="X263" s="9"/>
      <c r="Y263" s="9"/>
      <c r="Z263" s="9"/>
      <c r="AA263" s="9"/>
      <c r="AB263" s="9"/>
      <c r="AC263" s="9"/>
      <c r="AD263" s="9"/>
    </row>
    <row r="264" spans="1:30" ht="14.25" customHeight="1">
      <c r="A264" s="11"/>
      <c r="B264" s="12"/>
      <c r="C264" s="12"/>
      <c r="D264" s="12"/>
      <c r="E264" s="12"/>
      <c r="F264" s="12"/>
      <c r="G264" s="12"/>
      <c r="H264" s="12"/>
      <c r="I264" s="12"/>
      <c r="J264" s="12"/>
      <c r="K264" s="13"/>
      <c r="L264" s="9"/>
      <c r="M264" s="9"/>
      <c r="N264" s="9"/>
      <c r="O264" s="9"/>
      <c r="P264" s="9"/>
      <c r="Q264" s="9"/>
      <c r="R264" s="9"/>
      <c r="S264" s="9"/>
      <c r="T264" s="9"/>
      <c r="U264" s="9"/>
      <c r="V264" s="9"/>
      <c r="W264" s="9"/>
      <c r="X264" s="9"/>
      <c r="Y264" s="9"/>
      <c r="Z264" s="9"/>
      <c r="AA264" s="9"/>
      <c r="AB264" s="9"/>
      <c r="AC264" s="9"/>
      <c r="AD264" s="9"/>
    </row>
    <row r="265" spans="1:30" ht="14.25" customHeight="1">
      <c r="A265" s="11"/>
      <c r="B265" s="12"/>
      <c r="C265" s="12"/>
      <c r="D265" s="12"/>
      <c r="E265" s="12"/>
      <c r="F265" s="12"/>
      <c r="G265" s="12"/>
      <c r="H265" s="12"/>
      <c r="I265" s="12"/>
      <c r="J265" s="12"/>
      <c r="K265" s="13"/>
      <c r="L265" s="9"/>
      <c r="M265" s="9"/>
      <c r="N265" s="9"/>
      <c r="O265" s="9"/>
      <c r="P265" s="9"/>
      <c r="Q265" s="9"/>
      <c r="R265" s="9"/>
      <c r="S265" s="9"/>
      <c r="T265" s="9"/>
      <c r="U265" s="9"/>
      <c r="V265" s="9"/>
      <c r="W265" s="9"/>
      <c r="X265" s="9"/>
      <c r="Y265" s="9"/>
      <c r="Z265" s="9"/>
      <c r="AA265" s="9"/>
      <c r="AB265" s="9"/>
      <c r="AC265" s="9"/>
      <c r="AD265" s="9"/>
    </row>
    <row r="266" spans="1:30" ht="14.25" customHeight="1">
      <c r="A266" s="11"/>
      <c r="B266" s="12"/>
      <c r="C266" s="12"/>
      <c r="D266" s="12"/>
      <c r="E266" s="12"/>
      <c r="F266" s="12"/>
      <c r="G266" s="12"/>
      <c r="H266" s="12"/>
      <c r="I266" s="12"/>
      <c r="J266" s="12"/>
      <c r="K266" s="13"/>
      <c r="L266" s="9"/>
      <c r="M266" s="9"/>
      <c r="N266" s="9"/>
      <c r="O266" s="9"/>
      <c r="P266" s="9"/>
      <c r="Q266" s="9"/>
      <c r="R266" s="9"/>
      <c r="S266" s="9"/>
      <c r="T266" s="9"/>
      <c r="U266" s="9"/>
      <c r="V266" s="9"/>
      <c r="W266" s="9"/>
      <c r="X266" s="9"/>
      <c r="Y266" s="9"/>
      <c r="Z266" s="9"/>
      <c r="AA266" s="9"/>
      <c r="AB266" s="9"/>
      <c r="AC266" s="9"/>
      <c r="AD266" s="9"/>
    </row>
    <row r="267" spans="1:30" ht="14.25" customHeight="1">
      <c r="A267" s="11"/>
      <c r="B267" s="12"/>
      <c r="C267" s="12"/>
      <c r="D267" s="12"/>
      <c r="E267" s="12"/>
      <c r="F267" s="12"/>
      <c r="G267" s="12"/>
      <c r="H267" s="12"/>
      <c r="I267" s="12"/>
      <c r="J267" s="12"/>
      <c r="K267" s="13"/>
      <c r="L267" s="9"/>
      <c r="M267" s="9"/>
      <c r="N267" s="9"/>
      <c r="O267" s="9"/>
      <c r="P267" s="9"/>
      <c r="Q267" s="9"/>
      <c r="R267" s="9"/>
      <c r="S267" s="9"/>
      <c r="T267" s="9"/>
      <c r="U267" s="9"/>
      <c r="V267" s="9"/>
      <c r="W267" s="9"/>
      <c r="X267" s="9"/>
      <c r="Y267" s="9"/>
      <c r="Z267" s="9"/>
      <c r="AA267" s="9"/>
      <c r="AB267" s="9"/>
      <c r="AC267" s="9"/>
      <c r="AD267" s="9"/>
    </row>
    <row r="268" spans="1:30" ht="14.25" customHeight="1">
      <c r="A268" s="11"/>
      <c r="B268" s="12"/>
      <c r="C268" s="12"/>
      <c r="D268" s="12"/>
      <c r="E268" s="12"/>
      <c r="F268" s="12"/>
      <c r="G268" s="12"/>
      <c r="H268" s="12"/>
      <c r="I268" s="12"/>
      <c r="J268" s="12"/>
      <c r="K268" s="13"/>
      <c r="L268" s="9"/>
      <c r="M268" s="9"/>
      <c r="N268" s="9"/>
      <c r="O268" s="9"/>
      <c r="P268" s="9"/>
      <c r="Q268" s="9"/>
      <c r="R268" s="9"/>
      <c r="S268" s="9"/>
      <c r="T268" s="9"/>
      <c r="U268" s="9"/>
      <c r="V268" s="9"/>
      <c r="W268" s="9"/>
      <c r="X268" s="9"/>
      <c r="Y268" s="9"/>
      <c r="Z268" s="9"/>
      <c r="AA268" s="9"/>
      <c r="AB268" s="9"/>
      <c r="AC268" s="9"/>
      <c r="AD268" s="9"/>
    </row>
    <row r="269" spans="1:30" ht="14.25" customHeight="1">
      <c r="A269" s="11"/>
      <c r="B269" s="12"/>
      <c r="C269" s="12"/>
      <c r="D269" s="12"/>
      <c r="E269" s="12"/>
      <c r="F269" s="12"/>
      <c r="G269" s="12"/>
      <c r="H269" s="12"/>
      <c r="I269" s="12"/>
      <c r="J269" s="12"/>
      <c r="K269" s="13"/>
      <c r="L269" s="9"/>
      <c r="M269" s="9"/>
      <c r="N269" s="9"/>
      <c r="O269" s="9"/>
      <c r="P269" s="9"/>
      <c r="Q269" s="9"/>
      <c r="R269" s="9"/>
      <c r="S269" s="9"/>
      <c r="T269" s="9"/>
      <c r="U269" s="9"/>
      <c r="V269" s="9"/>
      <c r="W269" s="9"/>
      <c r="X269" s="9"/>
      <c r="Y269" s="9"/>
      <c r="Z269" s="9"/>
      <c r="AA269" s="9"/>
      <c r="AB269" s="9"/>
      <c r="AC269" s="9"/>
      <c r="AD269" s="9"/>
    </row>
    <row r="270" spans="1:30" ht="14.25" customHeight="1">
      <c r="A270" s="11"/>
      <c r="B270" s="12"/>
      <c r="C270" s="12"/>
      <c r="D270" s="12"/>
      <c r="E270" s="12"/>
      <c r="F270" s="12"/>
      <c r="G270" s="12"/>
      <c r="H270" s="12"/>
      <c r="I270" s="12"/>
      <c r="J270" s="12"/>
      <c r="K270" s="13"/>
      <c r="L270" s="9"/>
      <c r="M270" s="9"/>
      <c r="N270" s="9"/>
      <c r="O270" s="9"/>
      <c r="P270" s="9"/>
      <c r="Q270" s="9"/>
      <c r="R270" s="9"/>
      <c r="S270" s="9"/>
      <c r="T270" s="9"/>
      <c r="U270" s="9"/>
      <c r="V270" s="9"/>
      <c r="W270" s="9"/>
      <c r="X270" s="9"/>
      <c r="Y270" s="9"/>
      <c r="Z270" s="9"/>
      <c r="AA270" s="9"/>
      <c r="AB270" s="9"/>
      <c r="AC270" s="9"/>
      <c r="AD270" s="9"/>
    </row>
    <row r="271" spans="1:30" ht="14.25" customHeight="1">
      <c r="A271" s="11"/>
      <c r="B271" s="12"/>
      <c r="C271" s="12"/>
      <c r="D271" s="12"/>
      <c r="E271" s="12"/>
      <c r="F271" s="12"/>
      <c r="G271" s="12"/>
      <c r="H271" s="12"/>
      <c r="I271" s="12"/>
      <c r="J271" s="12"/>
      <c r="K271" s="13"/>
      <c r="L271" s="9"/>
      <c r="M271" s="9"/>
      <c r="N271" s="9"/>
      <c r="O271" s="9"/>
      <c r="P271" s="9"/>
      <c r="Q271" s="9"/>
      <c r="R271" s="9"/>
      <c r="S271" s="9"/>
      <c r="T271" s="9"/>
      <c r="U271" s="9"/>
      <c r="V271" s="9"/>
      <c r="W271" s="9"/>
      <c r="X271" s="9"/>
      <c r="Y271" s="9"/>
      <c r="Z271" s="9"/>
      <c r="AA271" s="9"/>
      <c r="AB271" s="9"/>
      <c r="AC271" s="9"/>
      <c r="AD271" s="9"/>
    </row>
    <row r="272" spans="1:30" ht="14.25" customHeight="1">
      <c r="A272" s="11"/>
      <c r="B272" s="12"/>
      <c r="C272" s="12"/>
      <c r="D272" s="12"/>
      <c r="E272" s="12"/>
      <c r="F272" s="12"/>
      <c r="G272" s="12"/>
      <c r="H272" s="12"/>
      <c r="I272" s="12"/>
      <c r="J272" s="12"/>
      <c r="K272" s="13"/>
      <c r="L272" s="9"/>
      <c r="M272" s="9"/>
      <c r="N272" s="9"/>
      <c r="O272" s="9"/>
      <c r="P272" s="9"/>
      <c r="Q272" s="9"/>
      <c r="R272" s="9"/>
      <c r="S272" s="9"/>
      <c r="T272" s="9"/>
      <c r="U272" s="9"/>
      <c r="V272" s="9"/>
      <c r="W272" s="9"/>
      <c r="X272" s="9"/>
      <c r="Y272" s="9"/>
      <c r="Z272" s="9"/>
      <c r="AA272" s="9"/>
      <c r="AB272" s="9"/>
      <c r="AC272" s="9"/>
      <c r="AD272" s="9"/>
    </row>
    <row r="273" spans="1:30" ht="14.25" customHeight="1">
      <c r="A273" s="11"/>
      <c r="B273" s="12"/>
      <c r="C273" s="12"/>
      <c r="D273" s="12"/>
      <c r="E273" s="12"/>
      <c r="F273" s="12"/>
      <c r="G273" s="12"/>
      <c r="H273" s="12"/>
      <c r="I273" s="12"/>
      <c r="J273" s="12"/>
      <c r="K273" s="13"/>
      <c r="L273" s="9"/>
      <c r="M273" s="9"/>
      <c r="N273" s="9"/>
      <c r="O273" s="9"/>
      <c r="P273" s="9"/>
      <c r="Q273" s="9"/>
      <c r="R273" s="9"/>
      <c r="S273" s="9"/>
      <c r="T273" s="9"/>
      <c r="U273" s="9"/>
      <c r="V273" s="9"/>
      <c r="W273" s="9"/>
      <c r="X273" s="9"/>
      <c r="Y273" s="9"/>
      <c r="Z273" s="9"/>
      <c r="AA273" s="9"/>
      <c r="AB273" s="9"/>
      <c r="AC273" s="9"/>
      <c r="AD273" s="9"/>
    </row>
    <row r="274" spans="1:30" ht="14.25" customHeight="1">
      <c r="A274" s="11"/>
      <c r="B274" s="12"/>
      <c r="C274" s="12"/>
      <c r="D274" s="12"/>
      <c r="E274" s="12"/>
      <c r="F274" s="12"/>
      <c r="G274" s="12"/>
      <c r="H274" s="12"/>
      <c r="I274" s="12"/>
      <c r="J274" s="12"/>
      <c r="K274" s="13"/>
      <c r="L274" s="9"/>
      <c r="M274" s="9"/>
      <c r="N274" s="9"/>
      <c r="O274" s="9"/>
      <c r="P274" s="9"/>
      <c r="Q274" s="9"/>
      <c r="R274" s="9"/>
      <c r="S274" s="9"/>
      <c r="T274" s="9"/>
      <c r="U274" s="9"/>
      <c r="V274" s="9"/>
      <c r="W274" s="9"/>
      <c r="X274" s="9"/>
      <c r="Y274" s="9"/>
      <c r="Z274" s="9"/>
      <c r="AA274" s="9"/>
      <c r="AB274" s="9"/>
      <c r="AC274" s="9"/>
      <c r="AD274" s="9"/>
    </row>
    <row r="275" spans="1:30" ht="14.25" customHeight="1">
      <c r="A275" s="11"/>
      <c r="B275" s="12"/>
      <c r="C275" s="12"/>
      <c r="D275" s="12"/>
      <c r="E275" s="12"/>
      <c r="F275" s="12"/>
      <c r="G275" s="12"/>
      <c r="H275" s="12"/>
      <c r="I275" s="12"/>
      <c r="J275" s="12"/>
      <c r="K275" s="13"/>
      <c r="L275" s="9"/>
      <c r="M275" s="9"/>
      <c r="N275" s="9"/>
      <c r="O275" s="9"/>
      <c r="P275" s="9"/>
      <c r="Q275" s="9"/>
      <c r="R275" s="9"/>
      <c r="S275" s="9"/>
      <c r="T275" s="9"/>
      <c r="U275" s="9"/>
      <c r="V275" s="9"/>
      <c r="W275" s="9"/>
      <c r="X275" s="9"/>
      <c r="Y275" s="9"/>
      <c r="Z275" s="9"/>
      <c r="AA275" s="9"/>
      <c r="AB275" s="9"/>
      <c r="AC275" s="9"/>
      <c r="AD275" s="9"/>
    </row>
    <row r="276" spans="1:30" ht="14.25" customHeight="1">
      <c r="A276" s="11"/>
      <c r="B276" s="12"/>
      <c r="C276" s="12"/>
      <c r="D276" s="12"/>
      <c r="E276" s="12"/>
      <c r="F276" s="12"/>
      <c r="G276" s="12"/>
      <c r="H276" s="12"/>
      <c r="I276" s="12"/>
      <c r="J276" s="12"/>
      <c r="K276" s="13"/>
      <c r="L276" s="9"/>
      <c r="M276" s="9"/>
      <c r="N276" s="9"/>
      <c r="O276" s="9"/>
      <c r="P276" s="9"/>
      <c r="Q276" s="9"/>
      <c r="R276" s="9"/>
      <c r="S276" s="9"/>
      <c r="T276" s="9"/>
      <c r="U276" s="9"/>
      <c r="V276" s="9"/>
      <c r="W276" s="9"/>
      <c r="X276" s="9"/>
      <c r="Y276" s="9"/>
      <c r="Z276" s="9"/>
      <c r="AA276" s="9"/>
      <c r="AB276" s="9"/>
      <c r="AC276" s="9"/>
      <c r="AD276" s="9"/>
    </row>
    <row r="277" spans="1:30" ht="14.25" customHeight="1">
      <c r="A277" s="11"/>
      <c r="B277" s="12"/>
      <c r="C277" s="12"/>
      <c r="D277" s="12"/>
      <c r="E277" s="12"/>
      <c r="F277" s="12"/>
      <c r="G277" s="12"/>
      <c r="H277" s="12"/>
      <c r="I277" s="12"/>
      <c r="J277" s="12"/>
      <c r="K277" s="13"/>
      <c r="L277" s="9"/>
      <c r="M277" s="9"/>
      <c r="N277" s="9"/>
      <c r="O277" s="9"/>
      <c r="P277" s="9"/>
      <c r="Q277" s="9"/>
      <c r="R277" s="9"/>
      <c r="S277" s="9"/>
      <c r="T277" s="9"/>
      <c r="U277" s="9"/>
      <c r="V277" s="9"/>
      <c r="W277" s="9"/>
      <c r="X277" s="9"/>
      <c r="Y277" s="9"/>
      <c r="Z277" s="9"/>
      <c r="AA277" s="9"/>
      <c r="AB277" s="9"/>
      <c r="AC277" s="9"/>
      <c r="AD277" s="9"/>
    </row>
    <row r="278" spans="1:30" ht="14.25" customHeight="1">
      <c r="A278" s="11"/>
      <c r="B278" s="12"/>
      <c r="C278" s="12"/>
      <c r="D278" s="12"/>
      <c r="E278" s="12"/>
      <c r="F278" s="12"/>
      <c r="G278" s="12"/>
      <c r="H278" s="12"/>
      <c r="I278" s="12"/>
      <c r="J278" s="12"/>
      <c r="K278" s="13"/>
      <c r="L278" s="9"/>
      <c r="M278" s="9"/>
      <c r="N278" s="9"/>
      <c r="O278" s="9"/>
      <c r="P278" s="9"/>
      <c r="Q278" s="9"/>
      <c r="R278" s="9"/>
      <c r="S278" s="9"/>
      <c r="T278" s="9"/>
      <c r="U278" s="9"/>
      <c r="V278" s="9"/>
      <c r="W278" s="9"/>
      <c r="X278" s="9"/>
      <c r="Y278" s="9"/>
      <c r="Z278" s="9"/>
      <c r="AA278" s="9"/>
      <c r="AB278" s="9"/>
      <c r="AC278" s="9"/>
      <c r="AD278" s="9"/>
    </row>
    <row r="279" spans="1:30" ht="14.25" customHeight="1">
      <c r="A279" s="11"/>
      <c r="B279" s="12"/>
      <c r="C279" s="12"/>
      <c r="D279" s="12"/>
      <c r="E279" s="12"/>
      <c r="F279" s="12"/>
      <c r="G279" s="12"/>
      <c r="H279" s="12"/>
      <c r="I279" s="12"/>
      <c r="J279" s="12"/>
      <c r="K279" s="13"/>
      <c r="L279" s="9"/>
      <c r="M279" s="9"/>
      <c r="N279" s="9"/>
      <c r="O279" s="9"/>
      <c r="P279" s="9"/>
      <c r="Q279" s="9"/>
      <c r="R279" s="9"/>
      <c r="S279" s="9"/>
      <c r="T279" s="9"/>
      <c r="U279" s="9"/>
      <c r="V279" s="9"/>
      <c r="W279" s="9"/>
      <c r="X279" s="9"/>
      <c r="Y279" s="9"/>
      <c r="Z279" s="9"/>
      <c r="AA279" s="9"/>
      <c r="AB279" s="9"/>
      <c r="AC279" s="9"/>
      <c r="AD279" s="9"/>
    </row>
    <row r="280" spans="1:30" ht="14.25" customHeight="1">
      <c r="A280" s="11"/>
      <c r="B280" s="12"/>
      <c r="C280" s="12"/>
      <c r="D280" s="12"/>
      <c r="E280" s="12"/>
      <c r="F280" s="12"/>
      <c r="G280" s="12"/>
      <c r="H280" s="12"/>
      <c r="I280" s="12"/>
      <c r="J280" s="12"/>
      <c r="K280" s="13"/>
      <c r="L280" s="9"/>
      <c r="M280" s="9"/>
      <c r="N280" s="9"/>
      <c r="O280" s="9"/>
      <c r="P280" s="9"/>
      <c r="Q280" s="9"/>
      <c r="R280" s="9"/>
      <c r="S280" s="9"/>
      <c r="T280" s="9"/>
      <c r="U280" s="9"/>
      <c r="V280" s="9"/>
      <c r="W280" s="9"/>
      <c r="X280" s="9"/>
      <c r="Y280" s="9"/>
      <c r="Z280" s="9"/>
      <c r="AA280" s="9"/>
      <c r="AB280" s="9"/>
      <c r="AC280" s="9"/>
      <c r="AD280" s="9"/>
    </row>
    <row r="281" spans="1:30" ht="14.25" customHeight="1">
      <c r="A281" s="11"/>
      <c r="B281" s="12"/>
      <c r="C281" s="12"/>
      <c r="D281" s="12"/>
      <c r="E281" s="12"/>
      <c r="F281" s="12"/>
      <c r="G281" s="12"/>
      <c r="H281" s="12"/>
      <c r="I281" s="12"/>
      <c r="J281" s="12"/>
      <c r="K281" s="13"/>
      <c r="L281" s="9"/>
      <c r="M281" s="9"/>
      <c r="N281" s="9"/>
      <c r="O281" s="9"/>
      <c r="P281" s="9"/>
      <c r="Q281" s="9"/>
      <c r="R281" s="9"/>
      <c r="S281" s="9"/>
      <c r="T281" s="9"/>
      <c r="U281" s="9"/>
      <c r="V281" s="9"/>
      <c r="W281" s="9"/>
      <c r="X281" s="9"/>
      <c r="Y281" s="9"/>
      <c r="Z281" s="9"/>
      <c r="AA281" s="9"/>
      <c r="AB281" s="9"/>
      <c r="AC281" s="9"/>
      <c r="AD281" s="9"/>
    </row>
    <row r="282" spans="1:30" ht="14.25" customHeight="1">
      <c r="A282" s="11"/>
      <c r="B282" s="12"/>
      <c r="C282" s="12"/>
      <c r="D282" s="12"/>
      <c r="E282" s="12"/>
      <c r="F282" s="12"/>
      <c r="G282" s="12"/>
      <c r="H282" s="12"/>
      <c r="I282" s="12"/>
      <c r="J282" s="12"/>
      <c r="K282" s="13"/>
      <c r="L282" s="9"/>
      <c r="M282" s="9"/>
      <c r="N282" s="9"/>
      <c r="O282" s="9"/>
      <c r="P282" s="9"/>
      <c r="Q282" s="9"/>
      <c r="R282" s="9"/>
      <c r="S282" s="9"/>
      <c r="T282" s="9"/>
      <c r="U282" s="9"/>
      <c r="V282" s="9"/>
      <c r="W282" s="9"/>
      <c r="X282" s="9"/>
      <c r="Y282" s="9"/>
      <c r="Z282" s="9"/>
      <c r="AA282" s="9"/>
      <c r="AB282" s="9"/>
      <c r="AC282" s="9"/>
      <c r="AD282" s="9"/>
    </row>
    <row r="283" spans="1:30" ht="14.25" customHeight="1">
      <c r="A283" s="11"/>
      <c r="B283" s="12"/>
      <c r="C283" s="12"/>
      <c r="D283" s="12"/>
      <c r="E283" s="12"/>
      <c r="F283" s="12"/>
      <c r="G283" s="12"/>
      <c r="H283" s="12"/>
      <c r="I283" s="12"/>
      <c r="J283" s="12"/>
      <c r="K283" s="13"/>
      <c r="L283" s="9"/>
      <c r="M283" s="9"/>
      <c r="N283" s="9"/>
      <c r="O283" s="9"/>
      <c r="P283" s="9"/>
      <c r="Q283" s="9"/>
      <c r="R283" s="9"/>
      <c r="S283" s="9"/>
      <c r="T283" s="9"/>
      <c r="U283" s="9"/>
      <c r="V283" s="9"/>
      <c r="W283" s="9"/>
      <c r="X283" s="9"/>
      <c r="Y283" s="9"/>
      <c r="Z283" s="9"/>
      <c r="AA283" s="9"/>
      <c r="AB283" s="9"/>
      <c r="AC283" s="9"/>
      <c r="AD283" s="9"/>
    </row>
    <row r="284" spans="1:30" ht="14.25" customHeight="1">
      <c r="A284" s="11"/>
      <c r="B284" s="12"/>
      <c r="C284" s="12"/>
      <c r="D284" s="12"/>
      <c r="E284" s="12"/>
      <c r="F284" s="12"/>
      <c r="G284" s="12"/>
      <c r="H284" s="12"/>
      <c r="I284" s="12"/>
      <c r="J284" s="12"/>
      <c r="K284" s="13"/>
      <c r="L284" s="9"/>
      <c r="M284" s="9"/>
      <c r="N284" s="9"/>
      <c r="O284" s="9"/>
      <c r="P284" s="9"/>
      <c r="Q284" s="9"/>
      <c r="R284" s="9"/>
      <c r="S284" s="9"/>
      <c r="T284" s="9"/>
      <c r="U284" s="9"/>
      <c r="V284" s="9"/>
      <c r="W284" s="9"/>
      <c r="X284" s="9"/>
      <c r="Y284" s="9"/>
      <c r="Z284" s="9"/>
      <c r="AA284" s="9"/>
      <c r="AB284" s="9"/>
      <c r="AC284" s="9"/>
      <c r="AD284" s="9"/>
    </row>
    <row r="285" spans="1:30" ht="14.25" customHeight="1">
      <c r="A285" s="11"/>
      <c r="B285" s="12"/>
      <c r="C285" s="12"/>
      <c r="D285" s="12"/>
      <c r="E285" s="12"/>
      <c r="F285" s="12"/>
      <c r="G285" s="12"/>
      <c r="H285" s="12"/>
      <c r="I285" s="12"/>
      <c r="J285" s="12"/>
      <c r="K285" s="13"/>
      <c r="L285" s="9"/>
      <c r="M285" s="9"/>
      <c r="N285" s="9"/>
      <c r="O285" s="9"/>
      <c r="P285" s="9"/>
      <c r="Q285" s="9"/>
      <c r="R285" s="9"/>
      <c r="S285" s="9"/>
      <c r="T285" s="9"/>
      <c r="U285" s="9"/>
      <c r="V285" s="9"/>
      <c r="W285" s="9"/>
      <c r="X285" s="9"/>
      <c r="Y285" s="9"/>
      <c r="Z285" s="9"/>
      <c r="AA285" s="9"/>
      <c r="AB285" s="9"/>
      <c r="AC285" s="9"/>
      <c r="AD285" s="9"/>
    </row>
    <row r="286" spans="1:30" ht="14.25" customHeight="1">
      <c r="A286" s="11"/>
      <c r="B286" s="12"/>
      <c r="C286" s="12"/>
      <c r="D286" s="12"/>
      <c r="E286" s="12"/>
      <c r="F286" s="12"/>
      <c r="G286" s="12"/>
      <c r="H286" s="12"/>
      <c r="I286" s="12"/>
      <c r="J286" s="12"/>
      <c r="K286" s="13"/>
      <c r="L286" s="9"/>
      <c r="M286" s="9"/>
      <c r="N286" s="9"/>
      <c r="O286" s="9"/>
      <c r="P286" s="9"/>
      <c r="Q286" s="9"/>
      <c r="R286" s="9"/>
      <c r="S286" s="9"/>
      <c r="T286" s="9"/>
      <c r="U286" s="9"/>
      <c r="V286" s="9"/>
      <c r="W286" s="9"/>
      <c r="X286" s="9"/>
      <c r="Y286" s="9"/>
      <c r="Z286" s="9"/>
      <c r="AA286" s="9"/>
      <c r="AB286" s="9"/>
      <c r="AC286" s="9"/>
      <c r="AD286" s="9"/>
    </row>
    <row r="287" spans="1:30" ht="14.25" customHeight="1">
      <c r="A287" s="11"/>
      <c r="B287" s="12"/>
      <c r="C287" s="12"/>
      <c r="D287" s="12"/>
      <c r="E287" s="12"/>
      <c r="F287" s="12"/>
      <c r="G287" s="12"/>
      <c r="H287" s="12"/>
      <c r="I287" s="12"/>
      <c r="J287" s="12"/>
      <c r="K287" s="13"/>
      <c r="L287" s="9"/>
      <c r="M287" s="9"/>
      <c r="N287" s="9"/>
      <c r="O287" s="9"/>
      <c r="P287" s="9"/>
      <c r="Q287" s="9"/>
      <c r="R287" s="9"/>
      <c r="S287" s="9"/>
      <c r="T287" s="9"/>
      <c r="U287" s="9"/>
      <c r="V287" s="9"/>
      <c r="W287" s="9"/>
      <c r="X287" s="9"/>
      <c r="Y287" s="9"/>
      <c r="Z287" s="9"/>
      <c r="AA287" s="9"/>
      <c r="AB287" s="9"/>
      <c r="AC287" s="9"/>
      <c r="AD287" s="9"/>
    </row>
    <row r="288" spans="1:30" ht="14.25" customHeight="1">
      <c r="A288" s="11"/>
      <c r="B288" s="12"/>
      <c r="C288" s="12"/>
      <c r="D288" s="12"/>
      <c r="E288" s="12"/>
      <c r="F288" s="12"/>
      <c r="G288" s="12"/>
      <c r="H288" s="12"/>
      <c r="I288" s="12"/>
      <c r="J288" s="12"/>
      <c r="K288" s="13"/>
      <c r="L288" s="9"/>
      <c r="M288" s="9"/>
      <c r="N288" s="9"/>
      <c r="O288" s="9"/>
      <c r="P288" s="9"/>
      <c r="Q288" s="9"/>
      <c r="R288" s="9"/>
      <c r="S288" s="9"/>
      <c r="T288" s="9"/>
      <c r="U288" s="9"/>
      <c r="V288" s="9"/>
      <c r="W288" s="9"/>
      <c r="X288" s="9"/>
      <c r="Y288" s="9"/>
      <c r="Z288" s="9"/>
      <c r="AA288" s="9"/>
      <c r="AB288" s="9"/>
      <c r="AC288" s="9"/>
      <c r="AD288" s="9"/>
    </row>
    <row r="289" spans="1:30" ht="14.25" customHeight="1">
      <c r="A289" s="11"/>
      <c r="B289" s="12"/>
      <c r="C289" s="12"/>
      <c r="D289" s="12"/>
      <c r="E289" s="12"/>
      <c r="F289" s="12"/>
      <c r="G289" s="12"/>
      <c r="H289" s="12"/>
      <c r="I289" s="12"/>
      <c r="J289" s="12"/>
      <c r="K289" s="13"/>
      <c r="L289" s="9"/>
      <c r="M289" s="9"/>
      <c r="N289" s="9"/>
      <c r="O289" s="9"/>
      <c r="P289" s="9"/>
      <c r="Q289" s="9"/>
      <c r="R289" s="9"/>
      <c r="S289" s="9"/>
      <c r="T289" s="9"/>
      <c r="U289" s="9"/>
      <c r="V289" s="9"/>
      <c r="W289" s="9"/>
      <c r="X289" s="9"/>
      <c r="Y289" s="9"/>
      <c r="Z289" s="9"/>
      <c r="AA289" s="9"/>
      <c r="AB289" s="9"/>
      <c r="AC289" s="9"/>
      <c r="AD289" s="9"/>
    </row>
    <row r="290" spans="1:30" ht="14.25" customHeight="1">
      <c r="A290" s="11"/>
      <c r="B290" s="12"/>
      <c r="C290" s="12"/>
      <c r="D290" s="12"/>
      <c r="E290" s="12"/>
      <c r="F290" s="12"/>
      <c r="G290" s="12"/>
      <c r="H290" s="12"/>
      <c r="I290" s="12"/>
      <c r="J290" s="12"/>
      <c r="K290" s="13"/>
      <c r="L290" s="9"/>
      <c r="M290" s="9"/>
      <c r="N290" s="9"/>
      <c r="O290" s="9"/>
      <c r="P290" s="9"/>
      <c r="Q290" s="9"/>
      <c r="R290" s="9"/>
      <c r="S290" s="9"/>
      <c r="T290" s="9"/>
      <c r="U290" s="9"/>
      <c r="V290" s="9"/>
      <c r="W290" s="9"/>
      <c r="X290" s="9"/>
      <c r="Y290" s="9"/>
      <c r="Z290" s="9"/>
      <c r="AA290" s="9"/>
      <c r="AB290" s="9"/>
      <c r="AC290" s="9"/>
      <c r="AD290" s="9"/>
    </row>
    <row r="291" spans="1:30" ht="14.25" customHeight="1">
      <c r="A291" s="11"/>
      <c r="B291" s="12"/>
      <c r="C291" s="12"/>
      <c r="D291" s="12"/>
      <c r="E291" s="12"/>
      <c r="F291" s="12"/>
      <c r="G291" s="12"/>
      <c r="H291" s="12"/>
      <c r="I291" s="12"/>
      <c r="J291" s="12"/>
      <c r="K291" s="13"/>
      <c r="L291" s="9"/>
      <c r="M291" s="9"/>
      <c r="N291" s="9"/>
      <c r="O291" s="9"/>
      <c r="P291" s="9"/>
      <c r="Q291" s="9"/>
      <c r="R291" s="9"/>
      <c r="S291" s="9"/>
      <c r="T291" s="9"/>
      <c r="U291" s="9"/>
      <c r="V291" s="9"/>
      <c r="W291" s="9"/>
      <c r="X291" s="9"/>
      <c r="Y291" s="9"/>
      <c r="Z291" s="9"/>
      <c r="AA291" s="9"/>
      <c r="AB291" s="9"/>
      <c r="AC291" s="9"/>
      <c r="AD291" s="9"/>
    </row>
    <row r="292" spans="1:30" ht="14.25" customHeight="1">
      <c r="A292" s="11"/>
      <c r="B292" s="12"/>
      <c r="C292" s="12"/>
      <c r="D292" s="12"/>
      <c r="E292" s="12"/>
      <c r="F292" s="12"/>
      <c r="G292" s="12"/>
      <c r="H292" s="12"/>
      <c r="I292" s="12"/>
      <c r="J292" s="12"/>
      <c r="K292" s="13"/>
      <c r="L292" s="9"/>
      <c r="M292" s="9"/>
      <c r="N292" s="9"/>
      <c r="O292" s="9"/>
      <c r="P292" s="9"/>
      <c r="Q292" s="9"/>
      <c r="R292" s="9"/>
      <c r="S292" s="9"/>
      <c r="T292" s="9"/>
      <c r="U292" s="9"/>
      <c r="V292" s="9"/>
      <c r="W292" s="9"/>
      <c r="X292" s="9"/>
      <c r="Y292" s="9"/>
      <c r="Z292" s="9"/>
      <c r="AA292" s="9"/>
      <c r="AB292" s="9"/>
      <c r="AC292" s="9"/>
      <c r="AD292" s="9"/>
    </row>
    <row r="293" spans="1:30" ht="14.25" customHeight="1">
      <c r="A293" s="11"/>
      <c r="B293" s="12"/>
      <c r="C293" s="12"/>
      <c r="D293" s="12"/>
      <c r="E293" s="12"/>
      <c r="F293" s="12"/>
      <c r="G293" s="12"/>
      <c r="H293" s="12"/>
      <c r="I293" s="12"/>
      <c r="J293" s="12"/>
      <c r="K293" s="13"/>
      <c r="L293" s="9"/>
      <c r="M293" s="9"/>
      <c r="N293" s="9"/>
      <c r="O293" s="9"/>
      <c r="P293" s="9"/>
      <c r="Q293" s="9"/>
      <c r="R293" s="9"/>
      <c r="S293" s="9"/>
      <c r="T293" s="9"/>
      <c r="U293" s="9"/>
      <c r="V293" s="9"/>
      <c r="W293" s="9"/>
      <c r="X293" s="9"/>
      <c r="Y293" s="9"/>
      <c r="Z293" s="9"/>
      <c r="AA293" s="9"/>
      <c r="AB293" s="9"/>
      <c r="AC293" s="9"/>
      <c r="AD293" s="9"/>
    </row>
    <row r="294" spans="1:30" ht="14.25" customHeight="1">
      <c r="A294" s="11"/>
      <c r="B294" s="12"/>
      <c r="C294" s="12"/>
      <c r="D294" s="12"/>
      <c r="E294" s="12"/>
      <c r="F294" s="12"/>
      <c r="G294" s="12"/>
      <c r="H294" s="12"/>
      <c r="I294" s="12"/>
      <c r="J294" s="12"/>
      <c r="K294" s="13"/>
      <c r="L294" s="9"/>
      <c r="M294" s="9"/>
      <c r="N294" s="9"/>
      <c r="O294" s="9"/>
      <c r="P294" s="9"/>
      <c r="Q294" s="9"/>
      <c r="R294" s="9"/>
      <c r="S294" s="9"/>
      <c r="T294" s="9"/>
      <c r="U294" s="9"/>
      <c r="V294" s="9"/>
      <c r="W294" s="9"/>
      <c r="X294" s="9"/>
      <c r="Y294" s="9"/>
      <c r="Z294" s="9"/>
      <c r="AA294" s="9"/>
      <c r="AB294" s="9"/>
      <c r="AC294" s="9"/>
      <c r="AD294" s="9"/>
    </row>
    <row r="295" spans="1:30" ht="14.25" customHeight="1">
      <c r="A295" s="11"/>
      <c r="B295" s="12"/>
      <c r="C295" s="12"/>
      <c r="D295" s="12"/>
      <c r="E295" s="12"/>
      <c r="F295" s="12"/>
      <c r="G295" s="12"/>
      <c r="H295" s="12"/>
      <c r="I295" s="12"/>
      <c r="J295" s="12"/>
      <c r="K295" s="13"/>
      <c r="L295" s="9"/>
      <c r="M295" s="9"/>
      <c r="N295" s="9"/>
      <c r="O295" s="9"/>
      <c r="P295" s="9"/>
      <c r="Q295" s="9"/>
      <c r="R295" s="9"/>
      <c r="S295" s="9"/>
      <c r="T295" s="9"/>
      <c r="U295" s="9"/>
      <c r="V295" s="9"/>
      <c r="W295" s="9"/>
      <c r="X295" s="9"/>
      <c r="Y295" s="9"/>
      <c r="Z295" s="9"/>
      <c r="AA295" s="9"/>
      <c r="AB295" s="9"/>
      <c r="AC295" s="9"/>
      <c r="AD295" s="9"/>
    </row>
    <row r="296" spans="1:30" ht="14.25" customHeight="1">
      <c r="A296" s="11"/>
      <c r="B296" s="12"/>
      <c r="C296" s="12"/>
      <c r="D296" s="12"/>
      <c r="E296" s="12"/>
      <c r="F296" s="12"/>
      <c r="G296" s="12"/>
      <c r="H296" s="12"/>
      <c r="I296" s="12"/>
      <c r="J296" s="12"/>
      <c r="K296" s="13"/>
      <c r="L296" s="9"/>
      <c r="M296" s="9"/>
      <c r="N296" s="9"/>
      <c r="O296" s="9"/>
      <c r="P296" s="9"/>
      <c r="Q296" s="9"/>
      <c r="R296" s="9"/>
      <c r="S296" s="9"/>
      <c r="T296" s="9"/>
      <c r="U296" s="9"/>
      <c r="V296" s="9"/>
      <c r="W296" s="9"/>
      <c r="X296" s="9"/>
      <c r="Y296" s="9"/>
      <c r="Z296" s="9"/>
      <c r="AA296" s="9"/>
      <c r="AB296" s="9"/>
      <c r="AC296" s="9"/>
      <c r="AD296" s="9"/>
    </row>
    <row r="297" spans="1:30" ht="14.25" customHeight="1">
      <c r="A297" s="11"/>
      <c r="B297" s="12"/>
      <c r="C297" s="12"/>
      <c r="D297" s="12"/>
      <c r="E297" s="12"/>
      <c r="F297" s="12"/>
      <c r="G297" s="12"/>
      <c r="H297" s="12"/>
      <c r="I297" s="12"/>
      <c r="J297" s="12"/>
      <c r="K297" s="13"/>
      <c r="L297" s="9"/>
      <c r="M297" s="9"/>
      <c r="N297" s="9"/>
      <c r="O297" s="9"/>
      <c r="P297" s="9"/>
      <c r="Q297" s="9"/>
      <c r="R297" s="9"/>
      <c r="S297" s="9"/>
      <c r="T297" s="9"/>
      <c r="U297" s="9"/>
      <c r="V297" s="9"/>
      <c r="W297" s="9"/>
      <c r="X297" s="9"/>
      <c r="Y297" s="9"/>
      <c r="Z297" s="9"/>
      <c r="AA297" s="9"/>
      <c r="AB297" s="9"/>
      <c r="AC297" s="9"/>
      <c r="AD297" s="9"/>
    </row>
    <row r="298" spans="1:30" ht="14.25" customHeight="1">
      <c r="A298" s="11"/>
      <c r="B298" s="12"/>
      <c r="C298" s="12"/>
      <c r="D298" s="12"/>
      <c r="E298" s="12"/>
      <c r="F298" s="12"/>
      <c r="G298" s="12"/>
      <c r="H298" s="12"/>
      <c r="I298" s="12"/>
      <c r="J298" s="12"/>
      <c r="K298" s="13"/>
      <c r="L298" s="9"/>
      <c r="M298" s="9"/>
      <c r="N298" s="9"/>
      <c r="O298" s="9"/>
      <c r="P298" s="9"/>
      <c r="Q298" s="9"/>
      <c r="R298" s="9"/>
      <c r="S298" s="9"/>
      <c r="T298" s="9"/>
      <c r="U298" s="9"/>
      <c r="V298" s="9"/>
      <c r="W298" s="9"/>
      <c r="X298" s="9"/>
      <c r="Y298" s="9"/>
      <c r="Z298" s="9"/>
      <c r="AA298" s="9"/>
      <c r="AB298" s="9"/>
      <c r="AC298" s="9"/>
      <c r="AD298" s="9"/>
    </row>
    <row r="299" spans="1:30" ht="14.25" customHeight="1">
      <c r="A299" s="11"/>
      <c r="B299" s="12"/>
      <c r="C299" s="12"/>
      <c r="D299" s="12"/>
      <c r="E299" s="12"/>
      <c r="F299" s="12"/>
      <c r="G299" s="12"/>
      <c r="H299" s="12"/>
      <c r="I299" s="12"/>
      <c r="J299" s="12"/>
      <c r="K299" s="13"/>
      <c r="L299" s="9"/>
      <c r="M299" s="9"/>
      <c r="N299" s="9"/>
      <c r="O299" s="9"/>
      <c r="P299" s="9"/>
      <c r="Q299" s="9"/>
      <c r="R299" s="9"/>
      <c r="S299" s="9"/>
      <c r="T299" s="9"/>
      <c r="U299" s="9"/>
      <c r="V299" s="9"/>
      <c r="W299" s="9"/>
      <c r="X299" s="9"/>
      <c r="Y299" s="9"/>
      <c r="Z299" s="9"/>
      <c r="AA299" s="9"/>
      <c r="AB299" s="9"/>
      <c r="AC299" s="9"/>
      <c r="AD299" s="9"/>
    </row>
    <row r="300" spans="1:30" ht="14.25" customHeight="1">
      <c r="A300" s="11"/>
      <c r="B300" s="12"/>
      <c r="C300" s="12"/>
      <c r="D300" s="12"/>
      <c r="E300" s="12"/>
      <c r="F300" s="12"/>
      <c r="G300" s="12"/>
      <c r="H300" s="12"/>
      <c r="I300" s="12"/>
      <c r="J300" s="12"/>
      <c r="K300" s="13"/>
      <c r="L300" s="9"/>
      <c r="M300" s="9"/>
      <c r="N300" s="9"/>
      <c r="O300" s="9"/>
      <c r="P300" s="9"/>
      <c r="Q300" s="9"/>
      <c r="R300" s="9"/>
      <c r="S300" s="9"/>
      <c r="T300" s="9"/>
      <c r="U300" s="9"/>
      <c r="V300" s="9"/>
      <c r="W300" s="9"/>
      <c r="X300" s="9"/>
      <c r="Y300" s="9"/>
      <c r="Z300" s="9"/>
      <c r="AA300" s="9"/>
      <c r="AB300" s="9"/>
      <c r="AC300" s="9"/>
      <c r="AD300" s="9"/>
    </row>
    <row r="301" spans="1:30" ht="14.25" customHeight="1">
      <c r="A301" s="11"/>
      <c r="B301" s="12"/>
      <c r="C301" s="12"/>
      <c r="D301" s="12"/>
      <c r="E301" s="12"/>
      <c r="F301" s="12"/>
      <c r="G301" s="12"/>
      <c r="H301" s="12"/>
      <c r="I301" s="12"/>
      <c r="J301" s="12"/>
      <c r="K301" s="13"/>
      <c r="L301" s="9"/>
      <c r="M301" s="9"/>
      <c r="N301" s="9"/>
      <c r="O301" s="9"/>
      <c r="P301" s="9"/>
      <c r="Q301" s="9"/>
      <c r="R301" s="9"/>
      <c r="S301" s="9"/>
      <c r="T301" s="9"/>
      <c r="U301" s="9"/>
      <c r="V301" s="9"/>
      <c r="W301" s="9"/>
      <c r="X301" s="9"/>
      <c r="Y301" s="9"/>
      <c r="Z301" s="9"/>
      <c r="AA301" s="9"/>
      <c r="AB301" s="9"/>
      <c r="AC301" s="9"/>
      <c r="AD301" s="9"/>
    </row>
    <row r="302" spans="1:30" ht="14.25" customHeight="1">
      <c r="A302" s="11"/>
      <c r="B302" s="12"/>
      <c r="C302" s="12"/>
      <c r="D302" s="12"/>
      <c r="E302" s="12"/>
      <c r="F302" s="12"/>
      <c r="G302" s="12"/>
      <c r="H302" s="12"/>
      <c r="I302" s="12"/>
      <c r="J302" s="12"/>
      <c r="K302" s="13"/>
      <c r="L302" s="9"/>
      <c r="M302" s="9"/>
      <c r="N302" s="9"/>
      <c r="O302" s="9"/>
      <c r="P302" s="9"/>
      <c r="Q302" s="9"/>
      <c r="R302" s="9"/>
      <c r="S302" s="9"/>
      <c r="T302" s="9"/>
      <c r="U302" s="9"/>
      <c r="V302" s="9"/>
      <c r="W302" s="9"/>
      <c r="X302" s="9"/>
      <c r="Y302" s="9"/>
      <c r="Z302" s="9"/>
      <c r="AA302" s="9"/>
      <c r="AB302" s="9"/>
      <c r="AC302" s="9"/>
      <c r="AD302" s="9"/>
    </row>
    <row r="303" spans="1:30" ht="14.25" customHeight="1">
      <c r="A303" s="11"/>
      <c r="B303" s="12"/>
      <c r="C303" s="12"/>
      <c r="D303" s="12"/>
      <c r="E303" s="12"/>
      <c r="F303" s="12"/>
      <c r="G303" s="12"/>
      <c r="H303" s="12"/>
      <c r="I303" s="12"/>
      <c r="J303" s="12"/>
      <c r="K303" s="13"/>
      <c r="L303" s="9"/>
      <c r="M303" s="9"/>
      <c r="N303" s="9"/>
      <c r="O303" s="9"/>
      <c r="P303" s="9"/>
      <c r="Q303" s="9"/>
      <c r="R303" s="9"/>
      <c r="S303" s="9"/>
      <c r="T303" s="9"/>
      <c r="U303" s="9"/>
      <c r="V303" s="9"/>
      <c r="W303" s="9"/>
      <c r="X303" s="9"/>
      <c r="Y303" s="9"/>
      <c r="Z303" s="9"/>
      <c r="AA303" s="9"/>
      <c r="AB303" s="9"/>
      <c r="AC303" s="9"/>
      <c r="AD303" s="9"/>
    </row>
    <row r="304" spans="1:30" ht="14.25" customHeight="1">
      <c r="A304" s="11"/>
      <c r="B304" s="12"/>
      <c r="C304" s="12"/>
      <c r="D304" s="12"/>
      <c r="E304" s="12"/>
      <c r="F304" s="12"/>
      <c r="G304" s="12"/>
      <c r="H304" s="12"/>
      <c r="I304" s="12"/>
      <c r="J304" s="12"/>
      <c r="K304" s="13"/>
      <c r="L304" s="9"/>
      <c r="M304" s="9"/>
      <c r="N304" s="9"/>
      <c r="O304" s="9"/>
      <c r="P304" s="9"/>
      <c r="Q304" s="9"/>
      <c r="R304" s="9"/>
      <c r="S304" s="9"/>
      <c r="T304" s="9"/>
      <c r="U304" s="9"/>
      <c r="V304" s="9"/>
      <c r="W304" s="9"/>
      <c r="X304" s="9"/>
      <c r="Y304" s="9"/>
      <c r="Z304" s="9"/>
      <c r="AA304" s="9"/>
      <c r="AB304" s="9"/>
      <c r="AC304" s="9"/>
      <c r="AD304" s="9"/>
    </row>
    <row r="305" spans="1:30" ht="14.25" customHeight="1">
      <c r="A305" s="11"/>
      <c r="B305" s="12"/>
      <c r="C305" s="12"/>
      <c r="D305" s="12"/>
      <c r="E305" s="12"/>
      <c r="F305" s="12"/>
      <c r="G305" s="12"/>
      <c r="H305" s="12"/>
      <c r="I305" s="12"/>
      <c r="J305" s="12"/>
      <c r="K305" s="13"/>
      <c r="L305" s="9"/>
      <c r="M305" s="9"/>
      <c r="N305" s="9"/>
      <c r="O305" s="9"/>
      <c r="P305" s="9"/>
      <c r="Q305" s="9"/>
      <c r="R305" s="9"/>
      <c r="S305" s="9"/>
      <c r="T305" s="9"/>
      <c r="U305" s="9"/>
      <c r="V305" s="9"/>
      <c r="W305" s="9"/>
      <c r="X305" s="9"/>
      <c r="Y305" s="9"/>
      <c r="Z305" s="9"/>
      <c r="AA305" s="9"/>
      <c r="AB305" s="9"/>
      <c r="AC305" s="9"/>
      <c r="AD305" s="9"/>
    </row>
    <row r="306" spans="1:30" ht="14.25" customHeight="1">
      <c r="A306" s="11"/>
      <c r="B306" s="12"/>
      <c r="C306" s="12"/>
      <c r="D306" s="12"/>
      <c r="E306" s="12"/>
      <c r="F306" s="12"/>
      <c r="G306" s="12"/>
      <c r="H306" s="12"/>
      <c r="I306" s="12"/>
      <c r="J306" s="12"/>
      <c r="K306" s="13"/>
      <c r="L306" s="9"/>
      <c r="M306" s="9"/>
      <c r="N306" s="9"/>
      <c r="O306" s="9"/>
      <c r="P306" s="9"/>
      <c r="Q306" s="9"/>
      <c r="R306" s="9"/>
      <c r="S306" s="9"/>
      <c r="T306" s="9"/>
      <c r="U306" s="9"/>
      <c r="V306" s="9"/>
      <c r="W306" s="9"/>
      <c r="X306" s="9"/>
      <c r="Y306" s="9"/>
      <c r="Z306" s="9"/>
      <c r="AA306" s="9"/>
      <c r="AB306" s="9"/>
      <c r="AC306" s="9"/>
      <c r="AD306" s="9"/>
    </row>
    <row r="307" spans="1:30" ht="14.25" customHeight="1">
      <c r="A307" s="11"/>
      <c r="B307" s="12"/>
      <c r="C307" s="12"/>
      <c r="D307" s="12"/>
      <c r="E307" s="12"/>
      <c r="F307" s="12"/>
      <c r="G307" s="12"/>
      <c r="H307" s="12"/>
      <c r="I307" s="12"/>
      <c r="J307" s="12"/>
      <c r="K307" s="13"/>
      <c r="L307" s="9"/>
      <c r="M307" s="9"/>
      <c r="N307" s="9"/>
      <c r="O307" s="9"/>
      <c r="P307" s="9"/>
      <c r="Q307" s="9"/>
      <c r="R307" s="9"/>
      <c r="S307" s="9"/>
      <c r="T307" s="9"/>
      <c r="U307" s="9"/>
      <c r="V307" s="9"/>
      <c r="W307" s="9"/>
      <c r="X307" s="9"/>
      <c r="Y307" s="9"/>
      <c r="Z307" s="9"/>
      <c r="AA307" s="9"/>
      <c r="AB307" s="9"/>
      <c r="AC307" s="9"/>
      <c r="AD307" s="9"/>
    </row>
    <row r="308" spans="1:30" ht="14.25" customHeight="1">
      <c r="A308" s="11"/>
      <c r="B308" s="12"/>
      <c r="C308" s="12"/>
      <c r="D308" s="12"/>
      <c r="E308" s="12"/>
      <c r="F308" s="12"/>
      <c r="G308" s="12"/>
      <c r="H308" s="12"/>
      <c r="I308" s="12"/>
      <c r="J308" s="12"/>
      <c r="K308" s="13"/>
      <c r="L308" s="9"/>
      <c r="M308" s="9"/>
      <c r="N308" s="9"/>
      <c r="O308" s="9"/>
      <c r="P308" s="9"/>
      <c r="Q308" s="9"/>
      <c r="R308" s="9"/>
      <c r="S308" s="9"/>
      <c r="T308" s="9"/>
      <c r="U308" s="9"/>
      <c r="V308" s="9"/>
      <c r="W308" s="9"/>
      <c r="X308" s="9"/>
      <c r="Y308" s="9"/>
      <c r="Z308" s="9"/>
      <c r="AA308" s="9"/>
      <c r="AB308" s="9"/>
      <c r="AC308" s="9"/>
      <c r="AD308" s="9"/>
    </row>
    <row r="309" spans="1:30" ht="14.25" customHeight="1">
      <c r="A309" s="11"/>
      <c r="B309" s="12"/>
      <c r="C309" s="12"/>
      <c r="D309" s="12"/>
      <c r="E309" s="12"/>
      <c r="F309" s="12"/>
      <c r="G309" s="12"/>
      <c r="H309" s="12"/>
      <c r="I309" s="12"/>
      <c r="J309" s="12"/>
      <c r="K309" s="13"/>
      <c r="L309" s="9"/>
      <c r="M309" s="9"/>
      <c r="N309" s="9"/>
      <c r="O309" s="9"/>
      <c r="P309" s="9"/>
      <c r="Q309" s="9"/>
      <c r="R309" s="9"/>
      <c r="S309" s="9"/>
      <c r="T309" s="9"/>
      <c r="U309" s="9"/>
      <c r="V309" s="9"/>
      <c r="W309" s="9"/>
      <c r="X309" s="9"/>
      <c r="Y309" s="9"/>
      <c r="Z309" s="9"/>
      <c r="AA309" s="9"/>
      <c r="AB309" s="9"/>
      <c r="AC309" s="9"/>
      <c r="AD309" s="9"/>
    </row>
    <row r="310" spans="1:30" ht="14.25" customHeight="1">
      <c r="A310" s="11"/>
      <c r="B310" s="12"/>
      <c r="C310" s="12"/>
      <c r="D310" s="12"/>
      <c r="E310" s="12"/>
      <c r="F310" s="12"/>
      <c r="G310" s="12"/>
      <c r="H310" s="12"/>
      <c r="I310" s="12"/>
      <c r="J310" s="12"/>
      <c r="K310" s="13"/>
      <c r="L310" s="9"/>
      <c r="M310" s="9"/>
      <c r="N310" s="9"/>
      <c r="O310" s="9"/>
      <c r="P310" s="9"/>
      <c r="Q310" s="9"/>
      <c r="R310" s="9"/>
      <c r="S310" s="9"/>
      <c r="T310" s="9"/>
      <c r="U310" s="9"/>
      <c r="V310" s="9"/>
      <c r="W310" s="9"/>
      <c r="X310" s="9"/>
      <c r="Y310" s="9"/>
      <c r="Z310" s="9"/>
      <c r="AA310" s="9"/>
      <c r="AB310" s="9"/>
      <c r="AC310" s="9"/>
      <c r="AD310" s="9"/>
    </row>
    <row r="311" spans="1:30" ht="14.25" customHeight="1">
      <c r="A311" s="11"/>
      <c r="B311" s="12"/>
      <c r="C311" s="12"/>
      <c r="D311" s="12"/>
      <c r="E311" s="12"/>
      <c r="F311" s="12"/>
      <c r="G311" s="12"/>
      <c r="H311" s="12"/>
      <c r="I311" s="12"/>
      <c r="J311" s="12"/>
      <c r="K311" s="13"/>
      <c r="L311" s="9"/>
      <c r="M311" s="9"/>
      <c r="N311" s="9"/>
      <c r="O311" s="9"/>
      <c r="P311" s="9"/>
      <c r="Q311" s="9"/>
      <c r="R311" s="9"/>
      <c r="S311" s="9"/>
      <c r="T311" s="9"/>
      <c r="U311" s="9"/>
      <c r="V311" s="9"/>
      <c r="W311" s="9"/>
      <c r="X311" s="9"/>
      <c r="Y311" s="9"/>
      <c r="Z311" s="9"/>
      <c r="AA311" s="9"/>
      <c r="AB311" s="9"/>
      <c r="AC311" s="9"/>
      <c r="AD311" s="9"/>
    </row>
    <row r="312" spans="1:30" ht="14.25" customHeight="1">
      <c r="A312" s="11"/>
      <c r="B312" s="12"/>
      <c r="C312" s="12"/>
      <c r="D312" s="12"/>
      <c r="E312" s="12"/>
      <c r="F312" s="12"/>
      <c r="G312" s="12"/>
      <c r="H312" s="12"/>
      <c r="I312" s="12"/>
      <c r="J312" s="12"/>
      <c r="K312" s="13"/>
      <c r="L312" s="9"/>
      <c r="M312" s="9"/>
      <c r="N312" s="9"/>
      <c r="O312" s="9"/>
      <c r="P312" s="9"/>
      <c r="Q312" s="9"/>
      <c r="R312" s="9"/>
      <c r="S312" s="9"/>
      <c r="T312" s="9"/>
      <c r="U312" s="9"/>
      <c r="V312" s="9"/>
      <c r="W312" s="9"/>
      <c r="X312" s="9"/>
      <c r="Y312" s="9"/>
      <c r="Z312" s="9"/>
      <c r="AA312" s="9"/>
      <c r="AB312" s="9"/>
      <c r="AC312" s="9"/>
      <c r="AD312" s="9"/>
    </row>
    <row r="313" spans="1:30" ht="14.25" customHeight="1">
      <c r="A313" s="11"/>
      <c r="B313" s="12"/>
      <c r="C313" s="12"/>
      <c r="D313" s="12"/>
      <c r="E313" s="12"/>
      <c r="F313" s="12"/>
      <c r="G313" s="12"/>
      <c r="H313" s="12"/>
      <c r="I313" s="12"/>
      <c r="J313" s="12"/>
      <c r="K313" s="13"/>
      <c r="L313" s="9"/>
      <c r="M313" s="9"/>
      <c r="N313" s="9"/>
      <c r="O313" s="9"/>
      <c r="P313" s="9"/>
      <c r="Q313" s="9"/>
      <c r="R313" s="9"/>
      <c r="S313" s="9"/>
      <c r="T313" s="9"/>
      <c r="U313" s="9"/>
      <c r="V313" s="9"/>
      <c r="W313" s="9"/>
      <c r="X313" s="9"/>
      <c r="Y313" s="9"/>
      <c r="Z313" s="9"/>
      <c r="AA313" s="9"/>
      <c r="AB313" s="9"/>
      <c r="AC313" s="9"/>
      <c r="AD313" s="9"/>
    </row>
    <row r="314" spans="1:30" ht="14.25" customHeight="1">
      <c r="A314" s="11"/>
      <c r="B314" s="12"/>
      <c r="C314" s="12"/>
      <c r="D314" s="12"/>
      <c r="E314" s="12"/>
      <c r="F314" s="12"/>
      <c r="G314" s="12"/>
      <c r="H314" s="12"/>
      <c r="I314" s="12"/>
      <c r="J314" s="12"/>
      <c r="K314" s="13"/>
      <c r="L314" s="9"/>
      <c r="M314" s="9"/>
      <c r="N314" s="9"/>
      <c r="O314" s="9"/>
      <c r="P314" s="9"/>
      <c r="Q314" s="9"/>
      <c r="R314" s="9"/>
      <c r="S314" s="9"/>
      <c r="T314" s="9"/>
      <c r="U314" s="9"/>
      <c r="V314" s="9"/>
      <c r="W314" s="9"/>
      <c r="X314" s="9"/>
      <c r="Y314" s="9"/>
      <c r="Z314" s="9"/>
      <c r="AA314" s="9"/>
      <c r="AB314" s="9"/>
      <c r="AC314" s="9"/>
      <c r="AD314" s="9"/>
    </row>
    <row r="315" spans="1:30" ht="14.25" customHeight="1">
      <c r="A315" s="11"/>
      <c r="B315" s="12"/>
      <c r="C315" s="12"/>
      <c r="D315" s="12"/>
      <c r="E315" s="12"/>
      <c r="F315" s="12"/>
      <c r="G315" s="12"/>
      <c r="H315" s="12"/>
      <c r="I315" s="12"/>
      <c r="J315" s="12"/>
      <c r="K315" s="13"/>
      <c r="L315" s="9"/>
      <c r="M315" s="9"/>
      <c r="N315" s="9"/>
      <c r="O315" s="9"/>
      <c r="P315" s="9"/>
      <c r="Q315" s="9"/>
      <c r="R315" s="9"/>
      <c r="S315" s="9"/>
      <c r="T315" s="9"/>
      <c r="U315" s="9"/>
      <c r="V315" s="9"/>
      <c r="W315" s="9"/>
      <c r="X315" s="9"/>
      <c r="Y315" s="9"/>
      <c r="Z315" s="9"/>
      <c r="AA315" s="9"/>
      <c r="AB315" s="9"/>
      <c r="AC315" s="9"/>
      <c r="AD315" s="9"/>
    </row>
    <row r="316" spans="1:30" ht="14.25" customHeight="1">
      <c r="A316" s="11"/>
      <c r="B316" s="12"/>
      <c r="C316" s="12"/>
      <c r="D316" s="12"/>
      <c r="E316" s="12"/>
      <c r="F316" s="12"/>
      <c r="G316" s="12"/>
      <c r="H316" s="12"/>
      <c r="I316" s="12"/>
      <c r="J316" s="12"/>
      <c r="K316" s="13"/>
      <c r="L316" s="9"/>
      <c r="M316" s="9"/>
      <c r="N316" s="9"/>
      <c r="O316" s="9"/>
      <c r="P316" s="9"/>
      <c r="Q316" s="9"/>
      <c r="R316" s="9"/>
      <c r="S316" s="9"/>
      <c r="T316" s="9"/>
      <c r="U316" s="9"/>
      <c r="V316" s="9"/>
      <c r="W316" s="9"/>
      <c r="X316" s="9"/>
      <c r="Y316" s="9"/>
      <c r="Z316" s="9"/>
      <c r="AA316" s="9"/>
      <c r="AB316" s="9"/>
      <c r="AC316" s="9"/>
      <c r="AD316" s="9"/>
    </row>
    <row r="317" spans="1:30" ht="14.25" customHeight="1">
      <c r="A317" s="11"/>
      <c r="B317" s="12"/>
      <c r="C317" s="12"/>
      <c r="D317" s="12"/>
      <c r="E317" s="12"/>
      <c r="F317" s="12"/>
      <c r="G317" s="12"/>
      <c r="H317" s="12"/>
      <c r="I317" s="12"/>
      <c r="J317" s="12"/>
      <c r="K317" s="13"/>
      <c r="L317" s="9"/>
      <c r="M317" s="9"/>
      <c r="N317" s="9"/>
      <c r="O317" s="9"/>
      <c r="P317" s="9"/>
      <c r="Q317" s="9"/>
      <c r="R317" s="9"/>
      <c r="S317" s="9"/>
      <c r="T317" s="9"/>
      <c r="U317" s="9"/>
      <c r="V317" s="9"/>
      <c r="W317" s="9"/>
      <c r="X317" s="9"/>
      <c r="Y317" s="9"/>
      <c r="Z317" s="9"/>
      <c r="AA317" s="9"/>
      <c r="AB317" s="9"/>
      <c r="AC317" s="9"/>
      <c r="AD317" s="9"/>
    </row>
    <row r="318" spans="1:30" ht="14.25" customHeight="1">
      <c r="A318" s="11"/>
      <c r="B318" s="12"/>
      <c r="C318" s="12"/>
      <c r="D318" s="12"/>
      <c r="E318" s="12"/>
      <c r="F318" s="12"/>
      <c r="G318" s="12"/>
      <c r="H318" s="12"/>
      <c r="I318" s="12"/>
      <c r="J318" s="12"/>
      <c r="K318" s="13"/>
      <c r="L318" s="9"/>
      <c r="M318" s="9"/>
      <c r="N318" s="9"/>
      <c r="O318" s="9"/>
      <c r="P318" s="9"/>
      <c r="Q318" s="9"/>
      <c r="R318" s="9"/>
      <c r="S318" s="9"/>
      <c r="T318" s="9"/>
      <c r="U318" s="9"/>
      <c r="V318" s="9"/>
      <c r="W318" s="9"/>
      <c r="X318" s="9"/>
      <c r="Y318" s="9"/>
      <c r="Z318" s="9"/>
      <c r="AA318" s="9"/>
      <c r="AB318" s="9"/>
      <c r="AC318" s="9"/>
      <c r="AD318" s="9"/>
    </row>
    <row r="319" spans="1:30" ht="14.25" customHeight="1">
      <c r="A319" s="11"/>
      <c r="B319" s="12"/>
      <c r="C319" s="12"/>
      <c r="D319" s="12"/>
      <c r="E319" s="12"/>
      <c r="F319" s="12"/>
      <c r="G319" s="12"/>
      <c r="H319" s="12"/>
      <c r="I319" s="12"/>
      <c r="J319" s="12"/>
      <c r="K319" s="13"/>
      <c r="L319" s="9"/>
      <c r="M319" s="9"/>
      <c r="N319" s="9"/>
      <c r="O319" s="9"/>
      <c r="P319" s="9"/>
      <c r="Q319" s="9"/>
      <c r="R319" s="9"/>
      <c r="S319" s="9"/>
      <c r="T319" s="9"/>
      <c r="U319" s="9"/>
      <c r="V319" s="9"/>
      <c r="W319" s="9"/>
      <c r="X319" s="9"/>
      <c r="Y319" s="9"/>
      <c r="Z319" s="9"/>
      <c r="AA319" s="9"/>
      <c r="AB319" s="9"/>
      <c r="AC319" s="9"/>
      <c r="AD319" s="9"/>
    </row>
    <row r="320" spans="1:30" ht="14.25" customHeight="1">
      <c r="A320" s="11"/>
      <c r="B320" s="12"/>
      <c r="C320" s="12"/>
      <c r="D320" s="12"/>
      <c r="E320" s="12"/>
      <c r="F320" s="12"/>
      <c r="G320" s="12"/>
      <c r="H320" s="12"/>
      <c r="I320" s="12"/>
      <c r="J320" s="12"/>
      <c r="K320" s="13"/>
      <c r="L320" s="9"/>
      <c r="M320" s="9"/>
      <c r="N320" s="9"/>
      <c r="O320" s="9"/>
      <c r="P320" s="9"/>
      <c r="Q320" s="9"/>
      <c r="R320" s="9"/>
      <c r="S320" s="9"/>
      <c r="T320" s="9"/>
      <c r="U320" s="9"/>
      <c r="V320" s="9"/>
      <c r="W320" s="9"/>
      <c r="X320" s="9"/>
      <c r="Y320" s="9"/>
      <c r="Z320" s="9"/>
      <c r="AA320" s="9"/>
      <c r="AB320" s="9"/>
      <c r="AC320" s="9"/>
      <c r="AD320" s="9"/>
    </row>
    <row r="321" spans="1:30" ht="14.25" customHeight="1">
      <c r="A321" s="11"/>
      <c r="B321" s="12"/>
      <c r="C321" s="12"/>
      <c r="D321" s="12"/>
      <c r="E321" s="12"/>
      <c r="F321" s="12"/>
      <c r="G321" s="12"/>
      <c r="H321" s="12"/>
      <c r="I321" s="12"/>
      <c r="J321" s="12"/>
      <c r="K321" s="13"/>
      <c r="L321" s="9"/>
      <c r="M321" s="9"/>
      <c r="N321" s="9"/>
      <c r="O321" s="9"/>
      <c r="P321" s="9"/>
      <c r="Q321" s="9"/>
      <c r="R321" s="9"/>
      <c r="S321" s="9"/>
      <c r="T321" s="9"/>
      <c r="U321" s="9"/>
      <c r="V321" s="9"/>
      <c r="W321" s="9"/>
      <c r="X321" s="9"/>
      <c r="Y321" s="9"/>
      <c r="Z321" s="9"/>
      <c r="AA321" s="9"/>
      <c r="AB321" s="9"/>
      <c r="AC321" s="9"/>
      <c r="AD321" s="9"/>
    </row>
    <row r="322" spans="1:30" ht="14.25" customHeight="1">
      <c r="A322" s="11"/>
      <c r="B322" s="12"/>
      <c r="C322" s="12"/>
      <c r="D322" s="12"/>
      <c r="E322" s="12"/>
      <c r="F322" s="12"/>
      <c r="G322" s="12"/>
      <c r="H322" s="12"/>
      <c r="I322" s="12"/>
      <c r="J322" s="12"/>
      <c r="K322" s="13"/>
      <c r="L322" s="9"/>
      <c r="M322" s="9"/>
      <c r="N322" s="9"/>
      <c r="O322" s="9"/>
      <c r="P322" s="9"/>
      <c r="Q322" s="9"/>
      <c r="R322" s="9"/>
      <c r="S322" s="9"/>
      <c r="T322" s="9"/>
      <c r="U322" s="9"/>
      <c r="V322" s="9"/>
      <c r="W322" s="9"/>
      <c r="X322" s="9"/>
      <c r="Y322" s="9"/>
      <c r="Z322" s="9"/>
      <c r="AA322" s="9"/>
      <c r="AB322" s="9"/>
      <c r="AC322" s="9"/>
      <c r="AD322" s="9"/>
    </row>
    <row r="323" spans="1:30" ht="14.25" customHeight="1">
      <c r="A323" s="11"/>
      <c r="B323" s="12"/>
      <c r="C323" s="12"/>
      <c r="D323" s="12"/>
      <c r="E323" s="12"/>
      <c r="F323" s="12"/>
      <c r="G323" s="12"/>
      <c r="H323" s="12"/>
      <c r="I323" s="12"/>
      <c r="J323" s="12"/>
      <c r="K323" s="13"/>
      <c r="L323" s="9"/>
      <c r="M323" s="9"/>
      <c r="N323" s="9"/>
      <c r="O323" s="9"/>
      <c r="P323" s="9"/>
      <c r="Q323" s="9"/>
      <c r="R323" s="9"/>
      <c r="S323" s="9"/>
      <c r="T323" s="9"/>
      <c r="U323" s="9"/>
      <c r="V323" s="9"/>
      <c r="W323" s="9"/>
      <c r="X323" s="9"/>
      <c r="Y323" s="9"/>
      <c r="Z323" s="9"/>
      <c r="AA323" s="9"/>
      <c r="AB323" s="9"/>
      <c r="AC323" s="9"/>
      <c r="AD323" s="9"/>
    </row>
    <row r="324" spans="1:30" ht="14.25" customHeight="1">
      <c r="A324" s="11"/>
      <c r="B324" s="12"/>
      <c r="C324" s="12"/>
      <c r="D324" s="12"/>
      <c r="E324" s="12"/>
      <c r="F324" s="12"/>
      <c r="G324" s="12"/>
      <c r="H324" s="12"/>
      <c r="I324" s="12"/>
      <c r="J324" s="12"/>
      <c r="K324" s="13"/>
      <c r="L324" s="9"/>
      <c r="M324" s="9"/>
      <c r="N324" s="9"/>
      <c r="O324" s="9"/>
      <c r="P324" s="9"/>
      <c r="Q324" s="9"/>
      <c r="R324" s="9"/>
      <c r="S324" s="9"/>
      <c r="T324" s="9"/>
      <c r="U324" s="9"/>
      <c r="V324" s="9"/>
      <c r="W324" s="9"/>
      <c r="X324" s="9"/>
      <c r="Y324" s="9"/>
      <c r="Z324" s="9"/>
      <c r="AA324" s="9"/>
      <c r="AB324" s="9"/>
      <c r="AC324" s="9"/>
      <c r="AD324" s="9"/>
    </row>
    <row r="325" spans="1:30" ht="14.25" customHeight="1">
      <c r="A325" s="11"/>
      <c r="B325" s="12"/>
      <c r="C325" s="12"/>
      <c r="D325" s="12"/>
      <c r="E325" s="12"/>
      <c r="F325" s="12"/>
      <c r="G325" s="12"/>
      <c r="H325" s="12"/>
      <c r="I325" s="12"/>
      <c r="J325" s="12"/>
      <c r="K325" s="13"/>
      <c r="L325" s="9"/>
      <c r="M325" s="9"/>
      <c r="N325" s="9"/>
      <c r="O325" s="9"/>
      <c r="P325" s="9"/>
      <c r="Q325" s="9"/>
      <c r="R325" s="9"/>
      <c r="S325" s="9"/>
      <c r="T325" s="9"/>
      <c r="U325" s="9"/>
      <c r="V325" s="9"/>
      <c r="W325" s="9"/>
      <c r="X325" s="9"/>
      <c r="Y325" s="9"/>
      <c r="Z325" s="9"/>
      <c r="AA325" s="9"/>
      <c r="AB325" s="9"/>
      <c r="AC325" s="9"/>
      <c r="AD325" s="9"/>
    </row>
    <row r="326" spans="1:30" ht="14.25" customHeight="1">
      <c r="A326" s="11"/>
      <c r="B326" s="12"/>
      <c r="C326" s="12"/>
      <c r="D326" s="12"/>
      <c r="E326" s="12"/>
      <c r="F326" s="12"/>
      <c r="G326" s="12"/>
      <c r="H326" s="12"/>
      <c r="I326" s="12"/>
      <c r="J326" s="12"/>
      <c r="K326" s="13"/>
      <c r="L326" s="9"/>
      <c r="M326" s="9"/>
      <c r="N326" s="9"/>
      <c r="O326" s="9"/>
      <c r="P326" s="9"/>
      <c r="Q326" s="9"/>
      <c r="R326" s="9"/>
      <c r="S326" s="9"/>
      <c r="T326" s="9"/>
      <c r="U326" s="9"/>
      <c r="V326" s="9"/>
      <c r="W326" s="9"/>
      <c r="X326" s="9"/>
      <c r="Y326" s="9"/>
      <c r="Z326" s="9"/>
      <c r="AA326" s="9"/>
      <c r="AB326" s="9"/>
      <c r="AC326" s="9"/>
      <c r="AD326" s="9"/>
    </row>
    <row r="327" spans="1:30" ht="14.25" customHeight="1">
      <c r="A327" s="11"/>
      <c r="B327" s="12"/>
      <c r="C327" s="12"/>
      <c r="D327" s="12"/>
      <c r="E327" s="12"/>
      <c r="F327" s="12"/>
      <c r="G327" s="12"/>
      <c r="H327" s="12"/>
      <c r="I327" s="12"/>
      <c r="J327" s="12"/>
      <c r="K327" s="13"/>
      <c r="L327" s="9"/>
      <c r="M327" s="9"/>
      <c r="N327" s="9"/>
      <c r="O327" s="9"/>
      <c r="P327" s="9"/>
      <c r="Q327" s="9"/>
      <c r="R327" s="9"/>
      <c r="S327" s="9"/>
      <c r="T327" s="9"/>
      <c r="U327" s="9"/>
      <c r="V327" s="9"/>
      <c r="W327" s="9"/>
      <c r="X327" s="9"/>
      <c r="Y327" s="9"/>
      <c r="Z327" s="9"/>
      <c r="AA327" s="9"/>
      <c r="AB327" s="9"/>
      <c r="AC327" s="9"/>
      <c r="AD327" s="9"/>
    </row>
    <row r="328" spans="1:30" ht="14.25" customHeight="1">
      <c r="A328" s="11"/>
      <c r="B328" s="12"/>
      <c r="C328" s="12"/>
      <c r="D328" s="12"/>
      <c r="E328" s="12"/>
      <c r="F328" s="12"/>
      <c r="G328" s="12"/>
      <c r="H328" s="12"/>
      <c r="I328" s="12"/>
      <c r="J328" s="12"/>
      <c r="K328" s="13"/>
      <c r="L328" s="9"/>
      <c r="M328" s="9"/>
      <c r="N328" s="9"/>
      <c r="O328" s="9"/>
      <c r="P328" s="9"/>
      <c r="Q328" s="9"/>
      <c r="R328" s="9"/>
      <c r="S328" s="9"/>
      <c r="T328" s="9"/>
      <c r="U328" s="9"/>
      <c r="V328" s="9"/>
      <c r="W328" s="9"/>
      <c r="X328" s="9"/>
      <c r="Y328" s="9"/>
      <c r="Z328" s="9"/>
      <c r="AA328" s="9"/>
      <c r="AB328" s="9"/>
      <c r="AC328" s="9"/>
      <c r="AD328" s="9"/>
    </row>
    <row r="329" spans="1:30" ht="14.25" customHeight="1">
      <c r="A329" s="11"/>
      <c r="B329" s="12"/>
      <c r="C329" s="12"/>
      <c r="D329" s="12"/>
      <c r="E329" s="12"/>
      <c r="F329" s="12"/>
      <c r="G329" s="12"/>
      <c r="H329" s="12"/>
      <c r="I329" s="12"/>
      <c r="J329" s="12"/>
      <c r="K329" s="13"/>
      <c r="L329" s="9"/>
      <c r="M329" s="9"/>
      <c r="N329" s="9"/>
      <c r="O329" s="9"/>
      <c r="P329" s="9"/>
      <c r="Q329" s="9"/>
      <c r="R329" s="9"/>
      <c r="S329" s="9"/>
      <c r="T329" s="9"/>
      <c r="U329" s="9"/>
      <c r="V329" s="9"/>
      <c r="W329" s="9"/>
      <c r="X329" s="9"/>
      <c r="Y329" s="9"/>
      <c r="Z329" s="9"/>
      <c r="AA329" s="9"/>
      <c r="AB329" s="9"/>
      <c r="AC329" s="9"/>
      <c r="AD329" s="9"/>
    </row>
    <row r="330" spans="1:30" ht="14.25" customHeight="1">
      <c r="A330" s="11"/>
      <c r="B330" s="12"/>
      <c r="C330" s="12"/>
      <c r="D330" s="12"/>
      <c r="E330" s="12"/>
      <c r="F330" s="12"/>
      <c r="G330" s="12"/>
      <c r="H330" s="12"/>
      <c r="I330" s="12"/>
      <c r="J330" s="12"/>
      <c r="K330" s="13"/>
      <c r="L330" s="9"/>
      <c r="M330" s="9"/>
      <c r="N330" s="9"/>
      <c r="O330" s="9"/>
      <c r="P330" s="9"/>
      <c r="Q330" s="9"/>
      <c r="R330" s="9"/>
      <c r="S330" s="9"/>
      <c r="T330" s="9"/>
      <c r="U330" s="9"/>
      <c r="V330" s="9"/>
      <c r="W330" s="9"/>
      <c r="X330" s="9"/>
      <c r="Y330" s="9"/>
      <c r="Z330" s="9"/>
      <c r="AA330" s="9"/>
      <c r="AB330" s="9"/>
      <c r="AC330" s="9"/>
      <c r="AD330" s="9"/>
    </row>
    <row r="331" spans="1:30" ht="14.25" customHeight="1">
      <c r="A331" s="11"/>
      <c r="B331" s="12"/>
      <c r="C331" s="12"/>
      <c r="D331" s="12"/>
      <c r="E331" s="12"/>
      <c r="F331" s="12"/>
      <c r="G331" s="12"/>
      <c r="H331" s="12"/>
      <c r="I331" s="12"/>
      <c r="J331" s="12"/>
      <c r="K331" s="13"/>
      <c r="L331" s="9"/>
      <c r="M331" s="9"/>
      <c r="N331" s="9"/>
      <c r="O331" s="9"/>
      <c r="P331" s="9"/>
      <c r="Q331" s="9"/>
      <c r="R331" s="9"/>
      <c r="S331" s="9"/>
      <c r="T331" s="9"/>
      <c r="U331" s="9"/>
      <c r="V331" s="9"/>
      <c r="W331" s="9"/>
      <c r="X331" s="9"/>
      <c r="Y331" s="9"/>
      <c r="Z331" s="9"/>
      <c r="AA331" s="9"/>
      <c r="AB331" s="9"/>
      <c r="AC331" s="9"/>
      <c r="AD331" s="9"/>
    </row>
    <row r="332" spans="1:30" ht="14.25" customHeight="1">
      <c r="A332" s="11"/>
      <c r="B332" s="12"/>
      <c r="C332" s="12"/>
      <c r="D332" s="12"/>
      <c r="E332" s="12"/>
      <c r="F332" s="12"/>
      <c r="G332" s="12"/>
      <c r="H332" s="12"/>
      <c r="I332" s="12"/>
      <c r="J332" s="12"/>
      <c r="K332" s="13"/>
      <c r="L332" s="9"/>
      <c r="M332" s="9"/>
      <c r="N332" s="9"/>
      <c r="O332" s="9"/>
      <c r="P332" s="9"/>
      <c r="Q332" s="9"/>
      <c r="R332" s="9"/>
      <c r="S332" s="9"/>
      <c r="T332" s="9"/>
      <c r="U332" s="9"/>
      <c r="V332" s="9"/>
      <c r="W332" s="9"/>
      <c r="X332" s="9"/>
      <c r="Y332" s="9"/>
      <c r="Z332" s="9"/>
      <c r="AA332" s="9"/>
      <c r="AB332" s="9"/>
      <c r="AC332" s="9"/>
      <c r="AD332" s="9"/>
    </row>
    <row r="333" spans="1:30" ht="14.25" customHeight="1">
      <c r="A333" s="11"/>
      <c r="B333" s="12"/>
      <c r="C333" s="12"/>
      <c r="D333" s="12"/>
      <c r="E333" s="12"/>
      <c r="F333" s="12"/>
      <c r="G333" s="12"/>
      <c r="H333" s="12"/>
      <c r="I333" s="12"/>
      <c r="J333" s="12"/>
      <c r="K333" s="13"/>
      <c r="L333" s="9"/>
      <c r="M333" s="9"/>
      <c r="N333" s="9"/>
      <c r="O333" s="9"/>
      <c r="P333" s="9"/>
      <c r="Q333" s="9"/>
      <c r="R333" s="9"/>
      <c r="S333" s="9"/>
      <c r="T333" s="9"/>
      <c r="U333" s="9"/>
      <c r="V333" s="9"/>
      <c r="W333" s="9"/>
      <c r="X333" s="9"/>
      <c r="Y333" s="9"/>
      <c r="Z333" s="9"/>
      <c r="AA333" s="9"/>
      <c r="AB333" s="9"/>
      <c r="AC333" s="9"/>
      <c r="AD333" s="9"/>
    </row>
    <row r="334" spans="1:30" ht="14.25" customHeight="1">
      <c r="A334" s="11"/>
      <c r="B334" s="12"/>
      <c r="C334" s="12"/>
      <c r="D334" s="12"/>
      <c r="E334" s="12"/>
      <c r="F334" s="12"/>
      <c r="G334" s="12"/>
      <c r="H334" s="12"/>
      <c r="I334" s="12"/>
      <c r="J334" s="12"/>
      <c r="K334" s="13"/>
      <c r="L334" s="9"/>
      <c r="M334" s="9"/>
      <c r="N334" s="9"/>
      <c r="O334" s="9"/>
      <c r="P334" s="9"/>
      <c r="Q334" s="9"/>
      <c r="R334" s="9"/>
      <c r="S334" s="9"/>
      <c r="T334" s="9"/>
      <c r="U334" s="9"/>
      <c r="V334" s="9"/>
      <c r="W334" s="9"/>
      <c r="X334" s="9"/>
      <c r="Y334" s="9"/>
      <c r="Z334" s="9"/>
      <c r="AA334" s="9"/>
      <c r="AB334" s="9"/>
      <c r="AC334" s="9"/>
      <c r="AD334" s="9"/>
    </row>
    <row r="335" spans="1:30" ht="14.25" customHeight="1">
      <c r="A335" s="11"/>
      <c r="B335" s="12"/>
      <c r="C335" s="12"/>
      <c r="D335" s="12"/>
      <c r="E335" s="12"/>
      <c r="F335" s="12"/>
      <c r="G335" s="12"/>
      <c r="H335" s="12"/>
      <c r="I335" s="12"/>
      <c r="J335" s="12"/>
      <c r="K335" s="13"/>
      <c r="L335" s="9"/>
      <c r="M335" s="9"/>
      <c r="N335" s="9"/>
      <c r="O335" s="9"/>
      <c r="P335" s="9"/>
      <c r="Q335" s="9"/>
      <c r="R335" s="9"/>
      <c r="S335" s="9"/>
      <c r="T335" s="9"/>
      <c r="U335" s="9"/>
      <c r="V335" s="9"/>
      <c r="W335" s="9"/>
      <c r="X335" s="9"/>
      <c r="Y335" s="9"/>
      <c r="Z335" s="9"/>
      <c r="AA335" s="9"/>
      <c r="AB335" s="9"/>
      <c r="AC335" s="9"/>
      <c r="AD335" s="9"/>
    </row>
    <row r="336" spans="1:30" ht="14.25" customHeight="1">
      <c r="A336" s="11"/>
      <c r="B336" s="12"/>
      <c r="C336" s="12"/>
      <c r="D336" s="12"/>
      <c r="E336" s="12"/>
      <c r="F336" s="12"/>
      <c r="G336" s="12"/>
      <c r="H336" s="12"/>
      <c r="I336" s="12"/>
      <c r="J336" s="12"/>
      <c r="K336" s="13"/>
      <c r="L336" s="9"/>
      <c r="M336" s="9"/>
      <c r="N336" s="9"/>
      <c r="O336" s="9"/>
      <c r="P336" s="9"/>
      <c r="Q336" s="9"/>
      <c r="R336" s="9"/>
      <c r="S336" s="9"/>
      <c r="T336" s="9"/>
      <c r="U336" s="9"/>
      <c r="V336" s="9"/>
      <c r="W336" s="9"/>
      <c r="X336" s="9"/>
      <c r="Y336" s="9"/>
      <c r="Z336" s="9"/>
      <c r="AA336" s="9"/>
      <c r="AB336" s="9"/>
      <c r="AC336" s="9"/>
      <c r="AD336" s="9"/>
    </row>
    <row r="337" spans="1:30" ht="14.25" customHeight="1">
      <c r="A337" s="11"/>
      <c r="B337" s="12"/>
      <c r="C337" s="12"/>
      <c r="D337" s="12"/>
      <c r="E337" s="12"/>
      <c r="F337" s="12"/>
      <c r="G337" s="12"/>
      <c r="H337" s="12"/>
      <c r="I337" s="12"/>
      <c r="J337" s="12"/>
      <c r="K337" s="13"/>
      <c r="L337" s="9"/>
      <c r="M337" s="9"/>
      <c r="N337" s="9"/>
      <c r="O337" s="9"/>
      <c r="P337" s="9"/>
      <c r="Q337" s="9"/>
      <c r="R337" s="9"/>
      <c r="S337" s="9"/>
      <c r="T337" s="9"/>
      <c r="U337" s="9"/>
      <c r="V337" s="9"/>
      <c r="W337" s="9"/>
      <c r="X337" s="9"/>
      <c r="Y337" s="9"/>
      <c r="Z337" s="9"/>
      <c r="AA337" s="9"/>
      <c r="AB337" s="9"/>
      <c r="AC337" s="9"/>
      <c r="AD337" s="9"/>
    </row>
    <row r="338" spans="1:30" ht="14.25" customHeight="1">
      <c r="A338" s="11"/>
      <c r="B338" s="12"/>
      <c r="C338" s="12"/>
      <c r="D338" s="12"/>
      <c r="E338" s="12"/>
      <c r="F338" s="12"/>
      <c r="G338" s="12"/>
      <c r="H338" s="12"/>
      <c r="I338" s="12"/>
      <c r="J338" s="12"/>
      <c r="K338" s="13"/>
      <c r="L338" s="9"/>
      <c r="M338" s="9"/>
      <c r="N338" s="9"/>
      <c r="O338" s="9"/>
      <c r="P338" s="9"/>
      <c r="Q338" s="9"/>
      <c r="R338" s="9"/>
      <c r="S338" s="9"/>
      <c r="T338" s="9"/>
      <c r="U338" s="9"/>
      <c r="V338" s="9"/>
      <c r="W338" s="9"/>
      <c r="X338" s="9"/>
      <c r="Y338" s="9"/>
      <c r="Z338" s="9"/>
      <c r="AA338" s="9"/>
      <c r="AB338" s="9"/>
      <c r="AC338" s="9"/>
      <c r="AD338" s="9"/>
    </row>
    <row r="339" spans="1:30" ht="14.25" customHeight="1">
      <c r="A339" s="11"/>
      <c r="B339" s="12"/>
      <c r="C339" s="12"/>
      <c r="D339" s="12"/>
      <c r="E339" s="12"/>
      <c r="F339" s="12"/>
      <c r="G339" s="12"/>
      <c r="H339" s="12"/>
      <c r="I339" s="12"/>
      <c r="J339" s="12"/>
      <c r="K339" s="13"/>
      <c r="L339" s="9"/>
      <c r="M339" s="9"/>
      <c r="N339" s="9"/>
      <c r="O339" s="9"/>
      <c r="P339" s="9"/>
      <c r="Q339" s="9"/>
      <c r="R339" s="9"/>
      <c r="S339" s="9"/>
      <c r="T339" s="9"/>
      <c r="U339" s="9"/>
      <c r="V339" s="9"/>
      <c r="W339" s="9"/>
      <c r="X339" s="9"/>
      <c r="Y339" s="9"/>
      <c r="Z339" s="9"/>
      <c r="AA339" s="9"/>
      <c r="AB339" s="9"/>
      <c r="AC339" s="9"/>
      <c r="AD339" s="9"/>
    </row>
    <row r="340" spans="1:30" ht="14.25" customHeight="1">
      <c r="A340" s="11"/>
      <c r="B340" s="12"/>
      <c r="C340" s="12"/>
      <c r="D340" s="12"/>
      <c r="E340" s="12"/>
      <c r="F340" s="12"/>
      <c r="G340" s="12"/>
      <c r="H340" s="12"/>
      <c r="I340" s="12"/>
      <c r="J340" s="12"/>
      <c r="K340" s="13"/>
      <c r="L340" s="9"/>
      <c r="M340" s="9"/>
      <c r="N340" s="9"/>
      <c r="O340" s="9"/>
      <c r="P340" s="9"/>
      <c r="Q340" s="9"/>
      <c r="R340" s="9"/>
      <c r="S340" s="9"/>
      <c r="T340" s="9"/>
      <c r="U340" s="9"/>
      <c r="V340" s="9"/>
      <c r="W340" s="9"/>
      <c r="X340" s="9"/>
      <c r="Y340" s="9"/>
      <c r="Z340" s="9"/>
      <c r="AA340" s="9"/>
      <c r="AB340" s="9"/>
      <c r="AC340" s="9"/>
      <c r="AD340" s="9"/>
    </row>
    <row r="341" spans="1:30" ht="14.25" customHeight="1">
      <c r="A341" s="11"/>
      <c r="B341" s="12"/>
      <c r="C341" s="12"/>
      <c r="D341" s="12"/>
      <c r="E341" s="12"/>
      <c r="F341" s="12"/>
      <c r="G341" s="12"/>
      <c r="H341" s="12"/>
      <c r="I341" s="12"/>
      <c r="J341" s="12"/>
      <c r="K341" s="13"/>
      <c r="L341" s="9"/>
      <c r="M341" s="9"/>
      <c r="N341" s="9"/>
      <c r="O341" s="9"/>
      <c r="P341" s="9"/>
      <c r="Q341" s="9"/>
      <c r="R341" s="9"/>
      <c r="S341" s="9"/>
      <c r="T341" s="9"/>
      <c r="U341" s="9"/>
      <c r="V341" s="9"/>
      <c r="W341" s="9"/>
      <c r="X341" s="9"/>
      <c r="Y341" s="9"/>
      <c r="Z341" s="9"/>
      <c r="AA341" s="9"/>
      <c r="AB341" s="9"/>
      <c r="AC341" s="9"/>
      <c r="AD341" s="9"/>
    </row>
    <row r="342" spans="1:30" ht="14.25" customHeight="1">
      <c r="A342" s="11"/>
      <c r="B342" s="12"/>
      <c r="C342" s="12"/>
      <c r="D342" s="12"/>
      <c r="E342" s="12"/>
      <c r="F342" s="12"/>
      <c r="G342" s="12"/>
      <c r="H342" s="12"/>
      <c r="I342" s="12"/>
      <c r="J342" s="12"/>
      <c r="K342" s="13"/>
      <c r="L342" s="9"/>
      <c r="M342" s="9"/>
      <c r="N342" s="9"/>
      <c r="O342" s="9"/>
      <c r="P342" s="9"/>
      <c r="Q342" s="9"/>
      <c r="R342" s="9"/>
      <c r="S342" s="9"/>
      <c r="T342" s="9"/>
      <c r="U342" s="9"/>
      <c r="V342" s="9"/>
      <c r="W342" s="9"/>
      <c r="X342" s="9"/>
      <c r="Y342" s="9"/>
      <c r="Z342" s="9"/>
      <c r="AA342" s="9"/>
      <c r="AB342" s="9"/>
      <c r="AC342" s="9"/>
      <c r="AD342" s="9"/>
    </row>
    <row r="343" spans="1:30" ht="14.25" customHeight="1">
      <c r="A343" s="11"/>
      <c r="B343" s="12"/>
      <c r="C343" s="12"/>
      <c r="D343" s="12"/>
      <c r="E343" s="12"/>
      <c r="F343" s="12"/>
      <c r="G343" s="12"/>
      <c r="H343" s="12"/>
      <c r="I343" s="12"/>
      <c r="J343" s="12"/>
      <c r="K343" s="13"/>
      <c r="L343" s="9"/>
      <c r="M343" s="9"/>
      <c r="N343" s="9"/>
      <c r="O343" s="9"/>
      <c r="P343" s="9"/>
      <c r="Q343" s="9"/>
      <c r="R343" s="9"/>
      <c r="S343" s="9"/>
      <c r="T343" s="9"/>
      <c r="U343" s="9"/>
      <c r="V343" s="9"/>
      <c r="W343" s="9"/>
      <c r="X343" s="9"/>
      <c r="Y343" s="9"/>
      <c r="Z343" s="9"/>
      <c r="AA343" s="9"/>
      <c r="AB343" s="9"/>
      <c r="AC343" s="9"/>
      <c r="AD343" s="9"/>
    </row>
    <row r="344" spans="1:30" ht="14.25" customHeight="1">
      <c r="A344" s="11"/>
      <c r="B344" s="12"/>
      <c r="C344" s="12"/>
      <c r="D344" s="12"/>
      <c r="E344" s="12"/>
      <c r="F344" s="12"/>
      <c r="G344" s="12"/>
      <c r="H344" s="12"/>
      <c r="I344" s="12"/>
      <c r="J344" s="12"/>
      <c r="K344" s="13"/>
      <c r="L344" s="9"/>
      <c r="M344" s="9"/>
      <c r="N344" s="9"/>
      <c r="O344" s="9"/>
      <c r="P344" s="9"/>
      <c r="Q344" s="9"/>
      <c r="R344" s="9"/>
      <c r="S344" s="9"/>
      <c r="T344" s="9"/>
      <c r="U344" s="9"/>
      <c r="V344" s="9"/>
      <c r="W344" s="9"/>
      <c r="X344" s="9"/>
      <c r="Y344" s="9"/>
      <c r="Z344" s="9"/>
      <c r="AA344" s="9"/>
      <c r="AB344" s="9"/>
      <c r="AC344" s="9"/>
      <c r="AD344" s="9"/>
    </row>
    <row r="345" spans="1:30" ht="14.25" customHeight="1">
      <c r="A345" s="11"/>
      <c r="B345" s="12"/>
      <c r="C345" s="12"/>
      <c r="D345" s="12"/>
      <c r="E345" s="12"/>
      <c r="F345" s="12"/>
      <c r="G345" s="12"/>
      <c r="H345" s="12"/>
      <c r="I345" s="12"/>
      <c r="J345" s="12"/>
      <c r="K345" s="13"/>
      <c r="L345" s="9"/>
      <c r="M345" s="9"/>
      <c r="N345" s="9"/>
      <c r="O345" s="9"/>
      <c r="P345" s="9"/>
      <c r="Q345" s="9"/>
      <c r="R345" s="9"/>
      <c r="S345" s="9"/>
      <c r="T345" s="9"/>
      <c r="U345" s="9"/>
      <c r="V345" s="9"/>
      <c r="W345" s="9"/>
      <c r="X345" s="9"/>
      <c r="Y345" s="9"/>
      <c r="Z345" s="9"/>
      <c r="AA345" s="9"/>
      <c r="AB345" s="9"/>
      <c r="AC345" s="9"/>
      <c r="AD345" s="9"/>
    </row>
    <row r="346" spans="1:30" ht="14.25" customHeight="1">
      <c r="A346" s="11"/>
      <c r="B346" s="12"/>
      <c r="C346" s="12"/>
      <c r="D346" s="12"/>
      <c r="E346" s="12"/>
      <c r="F346" s="12"/>
      <c r="G346" s="12"/>
      <c r="H346" s="12"/>
      <c r="I346" s="12"/>
      <c r="J346" s="12"/>
      <c r="K346" s="13"/>
      <c r="L346" s="9"/>
      <c r="M346" s="9"/>
      <c r="N346" s="9"/>
      <c r="O346" s="9"/>
      <c r="P346" s="9"/>
      <c r="Q346" s="9"/>
      <c r="R346" s="9"/>
      <c r="S346" s="9"/>
      <c r="T346" s="9"/>
      <c r="U346" s="9"/>
      <c r="V346" s="9"/>
      <c r="W346" s="9"/>
      <c r="X346" s="9"/>
      <c r="Y346" s="9"/>
      <c r="Z346" s="9"/>
      <c r="AA346" s="9"/>
      <c r="AB346" s="9"/>
      <c r="AC346" s="9"/>
      <c r="AD346" s="9"/>
    </row>
    <row r="347" spans="1:30" ht="14.25" customHeight="1">
      <c r="A347" s="11"/>
      <c r="B347" s="12"/>
      <c r="C347" s="12"/>
      <c r="D347" s="12"/>
      <c r="E347" s="12"/>
      <c r="F347" s="12"/>
      <c r="G347" s="12"/>
      <c r="H347" s="12"/>
      <c r="I347" s="12"/>
      <c r="J347" s="12"/>
      <c r="K347" s="13"/>
      <c r="L347" s="9"/>
      <c r="M347" s="9"/>
      <c r="N347" s="9"/>
      <c r="O347" s="9"/>
      <c r="P347" s="9"/>
      <c r="Q347" s="9"/>
      <c r="R347" s="9"/>
      <c r="S347" s="9"/>
      <c r="T347" s="9"/>
      <c r="U347" s="9"/>
      <c r="V347" s="9"/>
      <c r="W347" s="9"/>
      <c r="X347" s="9"/>
      <c r="Y347" s="9"/>
      <c r="Z347" s="9"/>
      <c r="AA347" s="9"/>
      <c r="AB347" s="9"/>
      <c r="AC347" s="9"/>
      <c r="AD347" s="9"/>
    </row>
    <row r="348" spans="1:30" ht="14.25" customHeight="1">
      <c r="A348" s="11"/>
      <c r="B348" s="12"/>
      <c r="C348" s="12"/>
      <c r="D348" s="12"/>
      <c r="E348" s="12"/>
      <c r="F348" s="12"/>
      <c r="G348" s="12"/>
      <c r="H348" s="12"/>
      <c r="I348" s="12"/>
      <c r="J348" s="12"/>
      <c r="K348" s="13"/>
      <c r="L348" s="9"/>
      <c r="M348" s="9"/>
      <c r="N348" s="9"/>
      <c r="O348" s="9"/>
      <c r="P348" s="9"/>
      <c r="Q348" s="9"/>
      <c r="R348" s="9"/>
      <c r="S348" s="9"/>
      <c r="T348" s="9"/>
      <c r="U348" s="9"/>
      <c r="V348" s="9"/>
      <c r="W348" s="9"/>
      <c r="X348" s="9"/>
      <c r="Y348" s="9"/>
      <c r="Z348" s="9"/>
      <c r="AA348" s="9"/>
      <c r="AB348" s="9"/>
      <c r="AC348" s="9"/>
      <c r="AD348" s="9"/>
    </row>
    <row r="349" spans="1:30" ht="14.25" customHeight="1">
      <c r="A349" s="11"/>
      <c r="B349" s="12"/>
      <c r="C349" s="12"/>
      <c r="D349" s="12"/>
      <c r="E349" s="12"/>
      <c r="F349" s="12"/>
      <c r="G349" s="12"/>
      <c r="H349" s="12"/>
      <c r="I349" s="12"/>
      <c r="J349" s="12"/>
      <c r="K349" s="13"/>
      <c r="L349" s="9"/>
      <c r="M349" s="9"/>
      <c r="N349" s="9"/>
      <c r="O349" s="9"/>
      <c r="P349" s="9"/>
      <c r="Q349" s="9"/>
      <c r="R349" s="9"/>
      <c r="S349" s="9"/>
      <c r="T349" s="9"/>
      <c r="U349" s="9"/>
      <c r="V349" s="9"/>
      <c r="W349" s="9"/>
      <c r="X349" s="9"/>
      <c r="Y349" s="9"/>
      <c r="Z349" s="9"/>
      <c r="AA349" s="9"/>
      <c r="AB349" s="9"/>
      <c r="AC349" s="9"/>
      <c r="AD349" s="9"/>
    </row>
    <row r="350" spans="1:30" ht="14.25" customHeight="1">
      <c r="A350" s="11"/>
      <c r="B350" s="12"/>
      <c r="C350" s="12"/>
      <c r="D350" s="12"/>
      <c r="E350" s="12"/>
      <c r="F350" s="12"/>
      <c r="G350" s="12"/>
      <c r="H350" s="12"/>
      <c r="I350" s="12"/>
      <c r="J350" s="12"/>
      <c r="K350" s="13"/>
      <c r="L350" s="9"/>
      <c r="M350" s="9"/>
      <c r="N350" s="9"/>
      <c r="O350" s="9"/>
      <c r="P350" s="9"/>
      <c r="Q350" s="9"/>
      <c r="R350" s="9"/>
      <c r="S350" s="9"/>
      <c r="T350" s="9"/>
      <c r="U350" s="9"/>
      <c r="V350" s="9"/>
      <c r="W350" s="9"/>
      <c r="X350" s="9"/>
      <c r="Y350" s="9"/>
      <c r="Z350" s="9"/>
      <c r="AA350" s="9"/>
      <c r="AB350" s="9"/>
      <c r="AC350" s="9"/>
      <c r="AD350" s="9"/>
    </row>
    <row r="351" spans="1:30" ht="14.25" customHeight="1">
      <c r="A351" s="11"/>
      <c r="B351" s="12"/>
      <c r="C351" s="12"/>
      <c r="D351" s="12"/>
      <c r="E351" s="12"/>
      <c r="F351" s="12"/>
      <c r="G351" s="12"/>
      <c r="H351" s="12"/>
      <c r="I351" s="12"/>
      <c r="J351" s="12"/>
      <c r="K351" s="13"/>
      <c r="L351" s="9"/>
      <c r="M351" s="9"/>
      <c r="N351" s="9"/>
      <c r="O351" s="9"/>
      <c r="P351" s="9"/>
      <c r="Q351" s="9"/>
      <c r="R351" s="9"/>
      <c r="S351" s="9"/>
      <c r="T351" s="9"/>
      <c r="U351" s="9"/>
      <c r="V351" s="9"/>
      <c r="W351" s="9"/>
      <c r="X351" s="9"/>
      <c r="Y351" s="9"/>
      <c r="Z351" s="9"/>
      <c r="AA351" s="9"/>
      <c r="AB351" s="9"/>
      <c r="AC351" s="9"/>
      <c r="AD351" s="9"/>
    </row>
    <row r="352" spans="1:30" ht="14.25" customHeight="1">
      <c r="A352" s="11"/>
      <c r="B352" s="12"/>
      <c r="C352" s="12"/>
      <c r="D352" s="12"/>
      <c r="E352" s="12"/>
      <c r="F352" s="12"/>
      <c r="G352" s="12"/>
      <c r="H352" s="12"/>
      <c r="I352" s="12"/>
      <c r="J352" s="12"/>
      <c r="K352" s="13"/>
      <c r="L352" s="9"/>
      <c r="M352" s="9"/>
      <c r="N352" s="9"/>
      <c r="O352" s="9"/>
      <c r="P352" s="9"/>
      <c r="Q352" s="9"/>
      <c r="R352" s="9"/>
      <c r="S352" s="9"/>
      <c r="T352" s="9"/>
      <c r="U352" s="9"/>
      <c r="V352" s="9"/>
      <c r="W352" s="9"/>
      <c r="X352" s="9"/>
      <c r="Y352" s="9"/>
      <c r="Z352" s="9"/>
      <c r="AA352" s="9"/>
      <c r="AB352" s="9"/>
      <c r="AC352" s="9"/>
      <c r="AD352" s="9"/>
    </row>
    <row r="353" spans="1:30" ht="14.25" customHeight="1">
      <c r="A353" s="11"/>
      <c r="B353" s="12"/>
      <c r="C353" s="12"/>
      <c r="D353" s="12"/>
      <c r="E353" s="12"/>
      <c r="F353" s="12"/>
      <c r="G353" s="12"/>
      <c r="H353" s="12"/>
      <c r="I353" s="12"/>
      <c r="J353" s="12"/>
      <c r="K353" s="13"/>
      <c r="L353" s="9"/>
      <c r="M353" s="9"/>
      <c r="N353" s="9"/>
      <c r="O353" s="9"/>
      <c r="P353" s="9"/>
      <c r="Q353" s="9"/>
      <c r="R353" s="9"/>
      <c r="S353" s="9"/>
      <c r="T353" s="9"/>
      <c r="U353" s="9"/>
      <c r="V353" s="9"/>
      <c r="W353" s="9"/>
      <c r="X353" s="9"/>
      <c r="Y353" s="9"/>
      <c r="Z353" s="9"/>
      <c r="AA353" s="9"/>
      <c r="AB353" s="9"/>
      <c r="AC353" s="9"/>
      <c r="AD353" s="9"/>
    </row>
    <row r="354" spans="1:30" ht="14.25" customHeight="1">
      <c r="A354" s="11"/>
      <c r="B354" s="12"/>
      <c r="C354" s="12"/>
      <c r="D354" s="12"/>
      <c r="E354" s="12"/>
      <c r="F354" s="12"/>
      <c r="G354" s="12"/>
      <c r="H354" s="12"/>
      <c r="I354" s="12"/>
      <c r="J354" s="12"/>
      <c r="K354" s="13"/>
      <c r="L354" s="9"/>
      <c r="M354" s="9"/>
      <c r="N354" s="9"/>
      <c r="O354" s="9"/>
      <c r="P354" s="9"/>
      <c r="Q354" s="9"/>
      <c r="R354" s="9"/>
      <c r="S354" s="9"/>
      <c r="T354" s="9"/>
      <c r="U354" s="9"/>
      <c r="V354" s="9"/>
      <c r="W354" s="9"/>
      <c r="X354" s="9"/>
      <c r="Y354" s="9"/>
      <c r="Z354" s="9"/>
      <c r="AA354" s="9"/>
      <c r="AB354" s="9"/>
      <c r="AC354" s="9"/>
      <c r="AD354" s="9"/>
    </row>
    <row r="355" spans="1:30" ht="14.25" customHeight="1">
      <c r="A355" s="11"/>
      <c r="B355" s="12"/>
      <c r="C355" s="12"/>
      <c r="D355" s="12"/>
      <c r="E355" s="12"/>
      <c r="F355" s="12"/>
      <c r="G355" s="12"/>
      <c r="H355" s="12"/>
      <c r="I355" s="12"/>
      <c r="J355" s="12"/>
      <c r="K355" s="13"/>
      <c r="L355" s="9"/>
      <c r="M355" s="9"/>
      <c r="N355" s="9"/>
      <c r="O355" s="9"/>
      <c r="P355" s="9"/>
      <c r="Q355" s="9"/>
      <c r="R355" s="9"/>
      <c r="S355" s="9"/>
      <c r="T355" s="9"/>
      <c r="U355" s="9"/>
      <c r="V355" s="9"/>
      <c r="W355" s="9"/>
      <c r="X355" s="9"/>
      <c r="Y355" s="9"/>
      <c r="Z355" s="9"/>
      <c r="AA355" s="9"/>
      <c r="AB355" s="9"/>
      <c r="AC355" s="9"/>
      <c r="AD355" s="9"/>
    </row>
    <row r="356" spans="1:30" ht="14.25" customHeight="1">
      <c r="A356" s="11"/>
      <c r="B356" s="12"/>
      <c r="C356" s="12"/>
      <c r="D356" s="12"/>
      <c r="E356" s="12"/>
      <c r="F356" s="12"/>
      <c r="G356" s="12"/>
      <c r="H356" s="12"/>
      <c r="I356" s="12"/>
      <c r="J356" s="12"/>
      <c r="K356" s="13"/>
      <c r="L356" s="9"/>
      <c r="M356" s="9"/>
      <c r="N356" s="9"/>
      <c r="O356" s="9"/>
      <c r="P356" s="9"/>
      <c r="Q356" s="9"/>
      <c r="R356" s="9"/>
      <c r="S356" s="9"/>
      <c r="T356" s="9"/>
      <c r="U356" s="9"/>
      <c r="V356" s="9"/>
      <c r="W356" s="9"/>
      <c r="X356" s="9"/>
      <c r="Y356" s="9"/>
      <c r="Z356" s="9"/>
      <c r="AA356" s="9"/>
      <c r="AB356" s="9"/>
      <c r="AC356" s="9"/>
      <c r="AD356" s="9"/>
    </row>
    <row r="357" spans="1:30" ht="14.25" customHeight="1">
      <c r="A357" s="11"/>
      <c r="B357" s="12"/>
      <c r="C357" s="12"/>
      <c r="D357" s="12"/>
      <c r="E357" s="12"/>
      <c r="F357" s="12"/>
      <c r="G357" s="12"/>
      <c r="H357" s="12"/>
      <c r="I357" s="12"/>
      <c r="J357" s="12"/>
      <c r="K357" s="13"/>
      <c r="L357" s="9"/>
      <c r="M357" s="9"/>
      <c r="N357" s="9"/>
      <c r="O357" s="9"/>
      <c r="P357" s="9"/>
      <c r="Q357" s="9"/>
      <c r="R357" s="9"/>
      <c r="S357" s="9"/>
      <c r="T357" s="9"/>
      <c r="U357" s="9"/>
      <c r="V357" s="9"/>
      <c r="W357" s="9"/>
      <c r="X357" s="9"/>
      <c r="Y357" s="9"/>
      <c r="Z357" s="9"/>
      <c r="AA357" s="9"/>
      <c r="AB357" s="9"/>
      <c r="AC357" s="9"/>
      <c r="AD357" s="9"/>
    </row>
    <row r="358" spans="1:30" ht="14.25" customHeight="1">
      <c r="A358" s="11"/>
      <c r="B358" s="12"/>
      <c r="C358" s="12"/>
      <c r="D358" s="12"/>
      <c r="E358" s="12"/>
      <c r="F358" s="12"/>
      <c r="G358" s="12"/>
      <c r="H358" s="12"/>
      <c r="I358" s="12"/>
      <c r="J358" s="12"/>
      <c r="K358" s="13"/>
      <c r="L358" s="9"/>
      <c r="M358" s="9"/>
      <c r="N358" s="9"/>
      <c r="O358" s="9"/>
      <c r="P358" s="9"/>
      <c r="Q358" s="9"/>
      <c r="R358" s="9"/>
      <c r="S358" s="9"/>
      <c r="T358" s="9"/>
      <c r="U358" s="9"/>
      <c r="V358" s="9"/>
      <c r="W358" s="9"/>
      <c r="X358" s="9"/>
      <c r="Y358" s="9"/>
      <c r="Z358" s="9"/>
      <c r="AA358" s="9"/>
      <c r="AB358" s="9"/>
      <c r="AC358" s="9"/>
      <c r="AD358" s="9"/>
    </row>
    <row r="359" spans="1:30" ht="14.25" customHeight="1">
      <c r="A359" s="11"/>
      <c r="B359" s="12"/>
      <c r="C359" s="12"/>
      <c r="D359" s="12"/>
      <c r="E359" s="12"/>
      <c r="F359" s="12"/>
      <c r="G359" s="12"/>
      <c r="H359" s="12"/>
      <c r="I359" s="12"/>
      <c r="J359" s="12"/>
      <c r="K359" s="13"/>
      <c r="L359" s="9"/>
      <c r="M359" s="9"/>
      <c r="N359" s="9"/>
      <c r="O359" s="9"/>
      <c r="P359" s="9"/>
      <c r="Q359" s="9"/>
      <c r="R359" s="9"/>
      <c r="S359" s="9"/>
      <c r="T359" s="9"/>
      <c r="U359" s="9"/>
      <c r="V359" s="9"/>
      <c r="W359" s="9"/>
      <c r="X359" s="9"/>
      <c r="Y359" s="9"/>
      <c r="Z359" s="9"/>
      <c r="AA359" s="9"/>
      <c r="AB359" s="9"/>
      <c r="AC359" s="9"/>
      <c r="AD359" s="9"/>
    </row>
    <row r="360" spans="1:30" ht="14.25" customHeight="1">
      <c r="A360" s="11"/>
      <c r="B360" s="12"/>
      <c r="C360" s="12"/>
      <c r="D360" s="12"/>
      <c r="E360" s="12"/>
      <c r="F360" s="12"/>
      <c r="G360" s="12"/>
      <c r="H360" s="12"/>
      <c r="I360" s="12"/>
      <c r="J360" s="12"/>
      <c r="K360" s="13"/>
      <c r="L360" s="9"/>
      <c r="M360" s="9"/>
      <c r="N360" s="9"/>
      <c r="O360" s="9"/>
      <c r="P360" s="9"/>
      <c r="Q360" s="9"/>
      <c r="R360" s="9"/>
      <c r="S360" s="9"/>
      <c r="T360" s="9"/>
      <c r="U360" s="9"/>
      <c r="V360" s="9"/>
      <c r="W360" s="9"/>
      <c r="X360" s="9"/>
      <c r="Y360" s="9"/>
      <c r="Z360" s="9"/>
      <c r="AA360" s="9"/>
      <c r="AB360" s="9"/>
      <c r="AC360" s="9"/>
      <c r="AD360" s="9"/>
    </row>
    <row r="361" spans="1:30" ht="14.25" customHeight="1">
      <c r="A361" s="11"/>
      <c r="B361" s="12"/>
      <c r="C361" s="12"/>
      <c r="D361" s="12"/>
      <c r="E361" s="12"/>
      <c r="F361" s="12"/>
      <c r="G361" s="12"/>
      <c r="H361" s="12"/>
      <c r="I361" s="12"/>
      <c r="J361" s="12"/>
      <c r="K361" s="13"/>
      <c r="L361" s="9"/>
      <c r="M361" s="9"/>
      <c r="N361" s="9"/>
      <c r="O361" s="9"/>
      <c r="P361" s="9"/>
      <c r="Q361" s="9"/>
      <c r="R361" s="9"/>
      <c r="S361" s="9"/>
      <c r="T361" s="9"/>
      <c r="U361" s="9"/>
      <c r="V361" s="9"/>
      <c r="W361" s="9"/>
      <c r="X361" s="9"/>
      <c r="Y361" s="9"/>
      <c r="Z361" s="9"/>
      <c r="AA361" s="9"/>
      <c r="AB361" s="9"/>
      <c r="AC361" s="9"/>
      <c r="AD361" s="9"/>
    </row>
    <row r="362" spans="1:30" ht="14.25" customHeight="1">
      <c r="A362" s="11"/>
      <c r="B362" s="12"/>
      <c r="C362" s="12"/>
      <c r="D362" s="12"/>
      <c r="E362" s="12"/>
      <c r="F362" s="12"/>
      <c r="G362" s="12"/>
      <c r="H362" s="12"/>
      <c r="I362" s="12"/>
      <c r="J362" s="12"/>
      <c r="K362" s="13"/>
      <c r="L362" s="9"/>
      <c r="M362" s="9"/>
      <c r="N362" s="9"/>
      <c r="O362" s="9"/>
      <c r="P362" s="9"/>
      <c r="Q362" s="9"/>
      <c r="R362" s="9"/>
      <c r="S362" s="9"/>
      <c r="T362" s="9"/>
      <c r="U362" s="9"/>
      <c r="V362" s="9"/>
      <c r="W362" s="9"/>
      <c r="X362" s="9"/>
      <c r="Y362" s="9"/>
      <c r="Z362" s="9"/>
      <c r="AA362" s="9"/>
      <c r="AB362" s="9"/>
      <c r="AC362" s="9"/>
      <c r="AD362" s="9"/>
    </row>
    <row r="363" spans="1:30" ht="14.25" customHeight="1">
      <c r="A363" s="11"/>
      <c r="B363" s="12"/>
      <c r="C363" s="12"/>
      <c r="D363" s="12"/>
      <c r="E363" s="12"/>
      <c r="F363" s="12"/>
      <c r="G363" s="12"/>
      <c r="H363" s="12"/>
      <c r="I363" s="12"/>
      <c r="J363" s="12"/>
      <c r="K363" s="13"/>
      <c r="L363" s="9"/>
      <c r="M363" s="9"/>
      <c r="N363" s="9"/>
      <c r="O363" s="9"/>
      <c r="P363" s="9"/>
      <c r="Q363" s="9"/>
      <c r="R363" s="9"/>
      <c r="S363" s="9"/>
      <c r="T363" s="9"/>
      <c r="U363" s="9"/>
      <c r="V363" s="9"/>
      <c r="W363" s="9"/>
      <c r="X363" s="9"/>
      <c r="Y363" s="9"/>
      <c r="Z363" s="9"/>
      <c r="AA363" s="9"/>
      <c r="AB363" s="9"/>
      <c r="AC363" s="9"/>
      <c r="AD363" s="9"/>
    </row>
    <row r="364" spans="1:30" ht="14.25" customHeight="1">
      <c r="A364" s="11"/>
      <c r="B364" s="12"/>
      <c r="C364" s="12"/>
      <c r="D364" s="12"/>
      <c r="E364" s="12"/>
      <c r="F364" s="12"/>
      <c r="G364" s="12"/>
      <c r="H364" s="12"/>
      <c r="I364" s="12"/>
      <c r="J364" s="12"/>
      <c r="K364" s="13"/>
      <c r="L364" s="9"/>
      <c r="M364" s="9"/>
      <c r="N364" s="9"/>
      <c r="O364" s="9"/>
      <c r="P364" s="9"/>
      <c r="Q364" s="9"/>
      <c r="R364" s="9"/>
      <c r="S364" s="9"/>
      <c r="T364" s="9"/>
      <c r="U364" s="9"/>
      <c r="V364" s="9"/>
      <c r="W364" s="9"/>
      <c r="X364" s="9"/>
      <c r="Y364" s="9"/>
      <c r="Z364" s="9"/>
      <c r="AA364" s="9"/>
      <c r="AB364" s="9"/>
      <c r="AC364" s="9"/>
      <c r="AD364" s="9"/>
    </row>
    <row r="365" spans="1:30" ht="14.25" customHeight="1">
      <c r="A365" s="11"/>
      <c r="B365" s="12"/>
      <c r="C365" s="12"/>
      <c r="D365" s="12"/>
      <c r="E365" s="12"/>
      <c r="F365" s="12"/>
      <c r="G365" s="12"/>
      <c r="H365" s="12"/>
      <c r="I365" s="12"/>
      <c r="J365" s="12"/>
      <c r="K365" s="13"/>
      <c r="L365" s="9"/>
      <c r="M365" s="9"/>
      <c r="N365" s="9"/>
      <c r="O365" s="9"/>
      <c r="P365" s="9"/>
      <c r="Q365" s="9"/>
      <c r="R365" s="9"/>
      <c r="S365" s="9"/>
      <c r="T365" s="9"/>
      <c r="U365" s="9"/>
      <c r="V365" s="9"/>
      <c r="W365" s="9"/>
      <c r="X365" s="9"/>
      <c r="Y365" s="9"/>
      <c r="Z365" s="9"/>
      <c r="AA365" s="9"/>
      <c r="AB365" s="9"/>
      <c r="AC365" s="9"/>
      <c r="AD365" s="9"/>
    </row>
    <row r="366" spans="1:30" ht="14.25" customHeight="1">
      <c r="A366" s="11"/>
      <c r="B366" s="12"/>
      <c r="C366" s="12"/>
      <c r="D366" s="12"/>
      <c r="E366" s="12"/>
      <c r="F366" s="12"/>
      <c r="G366" s="12"/>
      <c r="H366" s="12"/>
      <c r="I366" s="12"/>
      <c r="J366" s="12"/>
      <c r="K366" s="13"/>
      <c r="L366" s="9"/>
      <c r="M366" s="9"/>
      <c r="N366" s="9"/>
      <c r="O366" s="9"/>
      <c r="P366" s="9"/>
      <c r="Q366" s="9"/>
      <c r="R366" s="9"/>
      <c r="S366" s="9"/>
      <c r="T366" s="9"/>
      <c r="U366" s="9"/>
      <c r="V366" s="9"/>
      <c r="W366" s="9"/>
      <c r="X366" s="9"/>
      <c r="Y366" s="9"/>
      <c r="Z366" s="9"/>
      <c r="AA366" s="9"/>
      <c r="AB366" s="9"/>
      <c r="AC366" s="9"/>
      <c r="AD366" s="9"/>
    </row>
    <row r="367" spans="1:30" ht="14.25" customHeight="1">
      <c r="A367" s="11"/>
      <c r="B367" s="12"/>
      <c r="C367" s="12"/>
      <c r="D367" s="12"/>
      <c r="E367" s="12"/>
      <c r="F367" s="12"/>
      <c r="G367" s="12"/>
      <c r="H367" s="12"/>
      <c r="I367" s="12"/>
      <c r="J367" s="12"/>
      <c r="K367" s="13"/>
      <c r="L367" s="9"/>
      <c r="M367" s="9"/>
      <c r="N367" s="9"/>
      <c r="O367" s="9"/>
      <c r="P367" s="9"/>
      <c r="Q367" s="9"/>
      <c r="R367" s="9"/>
      <c r="S367" s="9"/>
      <c r="T367" s="9"/>
      <c r="U367" s="9"/>
      <c r="V367" s="9"/>
      <c r="W367" s="9"/>
      <c r="X367" s="9"/>
      <c r="Y367" s="9"/>
      <c r="Z367" s="9"/>
      <c r="AA367" s="9"/>
      <c r="AB367" s="9"/>
      <c r="AC367" s="9"/>
      <c r="AD367" s="9"/>
    </row>
    <row r="368" spans="1:30" ht="14.25" customHeight="1">
      <c r="A368" s="11"/>
      <c r="B368" s="12"/>
      <c r="C368" s="12"/>
      <c r="D368" s="12"/>
      <c r="E368" s="12"/>
      <c r="F368" s="12"/>
      <c r="G368" s="12"/>
      <c r="H368" s="12"/>
      <c r="I368" s="12"/>
      <c r="J368" s="12"/>
      <c r="K368" s="13"/>
      <c r="L368" s="9"/>
      <c r="M368" s="9"/>
      <c r="N368" s="9"/>
      <c r="O368" s="9"/>
      <c r="P368" s="9"/>
      <c r="Q368" s="9"/>
      <c r="R368" s="9"/>
      <c r="S368" s="9"/>
      <c r="T368" s="9"/>
      <c r="U368" s="9"/>
      <c r="V368" s="9"/>
      <c r="W368" s="9"/>
      <c r="X368" s="9"/>
      <c r="Y368" s="9"/>
      <c r="Z368" s="9"/>
      <c r="AA368" s="9"/>
      <c r="AB368" s="9"/>
      <c r="AC368" s="9"/>
      <c r="AD368" s="9"/>
    </row>
    <row r="369" spans="1:30" ht="14.25" customHeight="1">
      <c r="A369" s="11"/>
      <c r="B369" s="12"/>
      <c r="C369" s="12"/>
      <c r="D369" s="12"/>
      <c r="E369" s="12"/>
      <c r="F369" s="12"/>
      <c r="G369" s="12"/>
      <c r="H369" s="12"/>
      <c r="I369" s="12"/>
      <c r="J369" s="12"/>
      <c r="K369" s="13"/>
      <c r="L369" s="9"/>
      <c r="M369" s="9"/>
      <c r="N369" s="9"/>
      <c r="O369" s="9"/>
      <c r="P369" s="9"/>
      <c r="Q369" s="9"/>
      <c r="R369" s="9"/>
      <c r="S369" s="9"/>
      <c r="T369" s="9"/>
      <c r="U369" s="9"/>
      <c r="V369" s="9"/>
      <c r="W369" s="9"/>
      <c r="X369" s="9"/>
      <c r="Y369" s="9"/>
      <c r="Z369" s="9"/>
      <c r="AA369" s="9"/>
      <c r="AB369" s="9"/>
      <c r="AC369" s="9"/>
      <c r="AD369" s="9"/>
    </row>
    <row r="370" spans="1:30" ht="14.25" customHeight="1">
      <c r="A370" s="11"/>
      <c r="B370" s="12"/>
      <c r="C370" s="12"/>
      <c r="D370" s="12"/>
      <c r="E370" s="12"/>
      <c r="F370" s="12"/>
      <c r="G370" s="12"/>
      <c r="H370" s="12"/>
      <c r="I370" s="12"/>
      <c r="J370" s="12"/>
      <c r="K370" s="13"/>
      <c r="L370" s="9"/>
      <c r="M370" s="9"/>
      <c r="N370" s="9"/>
      <c r="O370" s="9"/>
      <c r="P370" s="9"/>
      <c r="Q370" s="9"/>
      <c r="R370" s="9"/>
      <c r="S370" s="9"/>
      <c r="T370" s="9"/>
      <c r="U370" s="9"/>
      <c r="V370" s="9"/>
      <c r="W370" s="9"/>
      <c r="X370" s="9"/>
      <c r="Y370" s="9"/>
      <c r="Z370" s="9"/>
      <c r="AA370" s="9"/>
      <c r="AB370" s="9"/>
      <c r="AC370" s="9"/>
      <c r="AD370" s="9"/>
    </row>
    <row r="371" spans="1:30" ht="14.25" customHeight="1">
      <c r="A371" s="11"/>
      <c r="B371" s="12"/>
      <c r="C371" s="12"/>
      <c r="D371" s="12"/>
      <c r="E371" s="12"/>
      <c r="F371" s="12"/>
      <c r="G371" s="12"/>
      <c r="H371" s="12"/>
      <c r="I371" s="12"/>
      <c r="J371" s="12"/>
      <c r="K371" s="13"/>
      <c r="L371" s="9"/>
      <c r="M371" s="9"/>
      <c r="N371" s="9"/>
      <c r="O371" s="9"/>
      <c r="P371" s="9"/>
      <c r="Q371" s="9"/>
      <c r="R371" s="9"/>
      <c r="S371" s="9"/>
      <c r="T371" s="9"/>
      <c r="U371" s="9"/>
      <c r="V371" s="9"/>
      <c r="W371" s="9"/>
      <c r="X371" s="9"/>
      <c r="Y371" s="9"/>
      <c r="Z371" s="9"/>
      <c r="AA371" s="9"/>
      <c r="AB371" s="9"/>
      <c r="AC371" s="9"/>
      <c r="AD371" s="9"/>
    </row>
    <row r="372" spans="1:30" ht="14.25" customHeight="1">
      <c r="A372" s="11"/>
      <c r="B372" s="12"/>
      <c r="C372" s="12"/>
      <c r="D372" s="12"/>
      <c r="E372" s="12"/>
      <c r="F372" s="12"/>
      <c r="G372" s="12"/>
      <c r="H372" s="12"/>
      <c r="I372" s="12"/>
      <c r="J372" s="12"/>
      <c r="K372" s="13"/>
      <c r="L372" s="9"/>
      <c r="M372" s="9"/>
      <c r="N372" s="9"/>
      <c r="O372" s="9"/>
      <c r="P372" s="9"/>
      <c r="Q372" s="9"/>
      <c r="R372" s="9"/>
      <c r="S372" s="9"/>
      <c r="T372" s="9"/>
      <c r="U372" s="9"/>
      <c r="V372" s="9"/>
      <c r="W372" s="9"/>
      <c r="X372" s="9"/>
      <c r="Y372" s="9"/>
      <c r="Z372" s="9"/>
      <c r="AA372" s="9"/>
      <c r="AB372" s="9"/>
      <c r="AC372" s="9"/>
      <c r="AD372" s="9"/>
    </row>
    <row r="373" spans="1:30" ht="14.25" customHeight="1">
      <c r="A373" s="11"/>
      <c r="B373" s="12"/>
      <c r="C373" s="12"/>
      <c r="D373" s="12"/>
      <c r="E373" s="12"/>
      <c r="F373" s="12"/>
      <c r="G373" s="12"/>
      <c r="H373" s="12"/>
      <c r="I373" s="12"/>
      <c r="J373" s="12"/>
      <c r="K373" s="13"/>
      <c r="L373" s="9"/>
      <c r="M373" s="9"/>
      <c r="N373" s="9"/>
      <c r="O373" s="9"/>
      <c r="P373" s="9"/>
      <c r="Q373" s="9"/>
      <c r="R373" s="9"/>
      <c r="S373" s="9"/>
      <c r="T373" s="9"/>
      <c r="U373" s="9"/>
      <c r="V373" s="9"/>
      <c r="W373" s="9"/>
      <c r="X373" s="9"/>
      <c r="Y373" s="9"/>
      <c r="Z373" s="9"/>
      <c r="AA373" s="9"/>
      <c r="AB373" s="9"/>
      <c r="AC373" s="9"/>
      <c r="AD373" s="9"/>
    </row>
    <row r="374" spans="1:30" ht="14.25" customHeight="1">
      <c r="A374" s="11"/>
      <c r="B374" s="12"/>
      <c r="C374" s="12"/>
      <c r="D374" s="12"/>
      <c r="E374" s="12"/>
      <c r="F374" s="12"/>
      <c r="G374" s="12"/>
      <c r="H374" s="12"/>
      <c r="I374" s="12"/>
      <c r="J374" s="12"/>
      <c r="K374" s="13"/>
      <c r="L374" s="9"/>
      <c r="M374" s="9"/>
      <c r="N374" s="9"/>
      <c r="O374" s="9"/>
      <c r="P374" s="9"/>
      <c r="Q374" s="9"/>
      <c r="R374" s="9"/>
      <c r="S374" s="9"/>
      <c r="T374" s="9"/>
      <c r="U374" s="9"/>
      <c r="V374" s="9"/>
      <c r="W374" s="9"/>
      <c r="X374" s="9"/>
      <c r="Y374" s="9"/>
      <c r="Z374" s="9"/>
      <c r="AA374" s="9"/>
      <c r="AB374" s="9"/>
      <c r="AC374" s="9"/>
      <c r="AD374" s="9"/>
    </row>
    <row r="375" spans="1:30" ht="14.25" customHeight="1">
      <c r="A375" s="11"/>
      <c r="B375" s="12"/>
      <c r="C375" s="12"/>
      <c r="D375" s="12"/>
      <c r="E375" s="12"/>
      <c r="F375" s="12"/>
      <c r="G375" s="12"/>
      <c r="H375" s="12"/>
      <c r="I375" s="12"/>
      <c r="J375" s="12"/>
      <c r="K375" s="13"/>
      <c r="L375" s="9"/>
      <c r="M375" s="9"/>
      <c r="N375" s="9"/>
      <c r="O375" s="9"/>
      <c r="P375" s="9"/>
      <c r="Q375" s="9"/>
      <c r="R375" s="9"/>
      <c r="S375" s="9"/>
      <c r="T375" s="9"/>
      <c r="U375" s="9"/>
      <c r="V375" s="9"/>
      <c r="W375" s="9"/>
      <c r="X375" s="9"/>
      <c r="Y375" s="9"/>
      <c r="Z375" s="9"/>
      <c r="AA375" s="9"/>
      <c r="AB375" s="9"/>
      <c r="AC375" s="9"/>
      <c r="AD375" s="9"/>
    </row>
    <row r="376" spans="1:30" ht="14.25" customHeight="1">
      <c r="A376" s="11"/>
      <c r="B376" s="12"/>
      <c r="C376" s="12"/>
      <c r="D376" s="12"/>
      <c r="E376" s="12"/>
      <c r="F376" s="12"/>
      <c r="G376" s="12"/>
      <c r="H376" s="12"/>
      <c r="I376" s="12"/>
      <c r="J376" s="12"/>
      <c r="K376" s="13"/>
      <c r="L376" s="9"/>
      <c r="M376" s="9"/>
      <c r="N376" s="9"/>
      <c r="O376" s="9"/>
      <c r="P376" s="9"/>
      <c r="Q376" s="9"/>
      <c r="R376" s="9"/>
      <c r="S376" s="9"/>
      <c r="T376" s="9"/>
      <c r="U376" s="9"/>
      <c r="V376" s="9"/>
      <c r="W376" s="9"/>
      <c r="X376" s="9"/>
      <c r="Y376" s="9"/>
      <c r="Z376" s="9"/>
      <c r="AA376" s="9"/>
      <c r="AB376" s="9"/>
      <c r="AC376" s="9"/>
      <c r="AD376" s="9"/>
    </row>
    <row r="377" spans="1:30" ht="14.25" customHeight="1">
      <c r="A377" s="11"/>
      <c r="B377" s="12"/>
      <c r="C377" s="12"/>
      <c r="D377" s="12"/>
      <c r="E377" s="12"/>
      <c r="F377" s="12"/>
      <c r="G377" s="12"/>
      <c r="H377" s="12"/>
      <c r="I377" s="12"/>
      <c r="J377" s="12"/>
      <c r="K377" s="13"/>
      <c r="L377" s="9"/>
      <c r="M377" s="9"/>
      <c r="N377" s="9"/>
      <c r="O377" s="9"/>
      <c r="P377" s="9"/>
      <c r="Q377" s="9"/>
      <c r="R377" s="9"/>
      <c r="S377" s="9"/>
      <c r="T377" s="9"/>
      <c r="U377" s="9"/>
      <c r="V377" s="9"/>
      <c r="W377" s="9"/>
      <c r="X377" s="9"/>
      <c r="Y377" s="9"/>
      <c r="Z377" s="9"/>
      <c r="AA377" s="9"/>
      <c r="AB377" s="9"/>
      <c r="AC377" s="9"/>
      <c r="AD377" s="9"/>
    </row>
    <row r="378" spans="1:30" ht="14.25" customHeight="1">
      <c r="A378" s="11"/>
      <c r="B378" s="12"/>
      <c r="C378" s="12"/>
      <c r="D378" s="12"/>
      <c r="E378" s="12"/>
      <c r="F378" s="12"/>
      <c r="G378" s="12"/>
      <c r="H378" s="12"/>
      <c r="I378" s="12"/>
      <c r="J378" s="12"/>
      <c r="K378" s="13"/>
      <c r="L378" s="9"/>
      <c r="M378" s="9"/>
      <c r="N378" s="9"/>
      <c r="O378" s="9"/>
      <c r="P378" s="9"/>
      <c r="Q378" s="9"/>
      <c r="R378" s="9"/>
      <c r="S378" s="9"/>
      <c r="T378" s="9"/>
      <c r="U378" s="9"/>
      <c r="V378" s="9"/>
      <c r="W378" s="9"/>
      <c r="X378" s="9"/>
      <c r="Y378" s="9"/>
      <c r="Z378" s="9"/>
      <c r="AA378" s="9"/>
      <c r="AB378" s="9"/>
      <c r="AC378" s="9"/>
      <c r="AD378" s="9"/>
    </row>
    <row r="379" spans="1:30" ht="14.25" customHeight="1">
      <c r="A379" s="11"/>
      <c r="B379" s="12"/>
      <c r="C379" s="12"/>
      <c r="D379" s="12"/>
      <c r="E379" s="12"/>
      <c r="F379" s="12"/>
      <c r="G379" s="12"/>
      <c r="H379" s="12"/>
      <c r="I379" s="12"/>
      <c r="J379" s="12"/>
      <c r="K379" s="13"/>
      <c r="L379" s="9"/>
      <c r="M379" s="9"/>
      <c r="N379" s="9"/>
      <c r="O379" s="9"/>
      <c r="P379" s="9"/>
      <c r="Q379" s="9"/>
      <c r="R379" s="9"/>
      <c r="S379" s="9"/>
      <c r="T379" s="9"/>
      <c r="U379" s="9"/>
      <c r="V379" s="9"/>
      <c r="W379" s="9"/>
      <c r="X379" s="9"/>
      <c r="Y379" s="9"/>
      <c r="Z379" s="9"/>
      <c r="AA379" s="9"/>
      <c r="AB379" s="9"/>
      <c r="AC379" s="9"/>
      <c r="AD379" s="9"/>
    </row>
    <row r="380" spans="1:30" ht="14.25" customHeight="1">
      <c r="A380" s="11"/>
      <c r="B380" s="12"/>
      <c r="C380" s="12"/>
      <c r="D380" s="12"/>
      <c r="E380" s="12"/>
      <c r="F380" s="12"/>
      <c r="G380" s="12"/>
      <c r="H380" s="12"/>
      <c r="I380" s="12"/>
      <c r="J380" s="12"/>
      <c r="K380" s="13"/>
      <c r="L380" s="9"/>
      <c r="M380" s="9"/>
      <c r="N380" s="9"/>
      <c r="O380" s="9"/>
      <c r="P380" s="9"/>
      <c r="Q380" s="9"/>
      <c r="R380" s="9"/>
      <c r="S380" s="9"/>
      <c r="T380" s="9"/>
      <c r="U380" s="9"/>
      <c r="V380" s="9"/>
      <c r="W380" s="9"/>
      <c r="X380" s="9"/>
      <c r="Y380" s="9"/>
      <c r="Z380" s="9"/>
      <c r="AA380" s="9"/>
      <c r="AB380" s="9"/>
      <c r="AC380" s="9"/>
      <c r="AD380" s="9"/>
    </row>
    <row r="381" spans="1:30" ht="14.25" customHeight="1">
      <c r="A381" s="11"/>
      <c r="B381" s="12"/>
      <c r="C381" s="12"/>
      <c r="D381" s="12"/>
      <c r="E381" s="12"/>
      <c r="F381" s="12"/>
      <c r="G381" s="12"/>
      <c r="H381" s="12"/>
      <c r="I381" s="12"/>
      <c r="J381" s="12"/>
      <c r="K381" s="13"/>
      <c r="L381" s="9"/>
      <c r="M381" s="9"/>
      <c r="N381" s="9"/>
      <c r="O381" s="9"/>
      <c r="P381" s="9"/>
      <c r="Q381" s="9"/>
      <c r="R381" s="9"/>
      <c r="S381" s="9"/>
      <c r="T381" s="9"/>
      <c r="U381" s="9"/>
      <c r="V381" s="9"/>
      <c r="W381" s="9"/>
      <c r="X381" s="9"/>
      <c r="Y381" s="9"/>
      <c r="Z381" s="9"/>
      <c r="AA381" s="9"/>
      <c r="AB381" s="9"/>
      <c r="AC381" s="9"/>
      <c r="AD381" s="9"/>
    </row>
    <row r="382" spans="1:30" ht="14.25" customHeight="1">
      <c r="A382" s="11"/>
      <c r="B382" s="12"/>
      <c r="C382" s="12"/>
      <c r="D382" s="12"/>
      <c r="E382" s="12"/>
      <c r="F382" s="12"/>
      <c r="G382" s="12"/>
      <c r="H382" s="12"/>
      <c r="I382" s="12"/>
      <c r="J382" s="12"/>
      <c r="K382" s="13"/>
      <c r="L382" s="9"/>
      <c r="M382" s="9"/>
      <c r="N382" s="9"/>
      <c r="O382" s="9"/>
      <c r="P382" s="9"/>
      <c r="Q382" s="9"/>
      <c r="R382" s="9"/>
      <c r="S382" s="9"/>
      <c r="T382" s="9"/>
      <c r="U382" s="9"/>
      <c r="V382" s="9"/>
      <c r="W382" s="9"/>
      <c r="X382" s="9"/>
      <c r="Y382" s="9"/>
      <c r="Z382" s="9"/>
      <c r="AA382" s="9"/>
      <c r="AB382" s="9"/>
      <c r="AC382" s="9"/>
      <c r="AD382" s="9"/>
    </row>
    <row r="383" spans="1:30" ht="14.25" customHeight="1">
      <c r="A383" s="11"/>
      <c r="B383" s="12"/>
      <c r="C383" s="12"/>
      <c r="D383" s="12"/>
      <c r="E383" s="12"/>
      <c r="F383" s="12"/>
      <c r="G383" s="12"/>
      <c r="H383" s="12"/>
      <c r="I383" s="12"/>
      <c r="J383" s="12"/>
      <c r="K383" s="13"/>
      <c r="L383" s="9"/>
      <c r="M383" s="9"/>
      <c r="N383" s="9"/>
      <c r="O383" s="9"/>
      <c r="P383" s="9"/>
      <c r="Q383" s="9"/>
      <c r="R383" s="9"/>
      <c r="S383" s="9"/>
      <c r="T383" s="9"/>
      <c r="U383" s="9"/>
      <c r="V383" s="9"/>
      <c r="W383" s="9"/>
      <c r="X383" s="9"/>
      <c r="Y383" s="9"/>
      <c r="Z383" s="9"/>
      <c r="AA383" s="9"/>
      <c r="AB383" s="9"/>
      <c r="AC383" s="9"/>
      <c r="AD383" s="9"/>
    </row>
    <row r="384" spans="1:30" ht="14.25" customHeight="1">
      <c r="A384" s="11"/>
      <c r="B384" s="12"/>
      <c r="C384" s="12"/>
      <c r="D384" s="12"/>
      <c r="E384" s="12"/>
      <c r="F384" s="12"/>
      <c r="G384" s="12"/>
      <c r="H384" s="12"/>
      <c r="I384" s="12"/>
      <c r="J384" s="12"/>
      <c r="K384" s="13"/>
      <c r="L384" s="9"/>
      <c r="M384" s="9"/>
      <c r="N384" s="9"/>
      <c r="O384" s="9"/>
      <c r="P384" s="9"/>
      <c r="Q384" s="9"/>
      <c r="R384" s="9"/>
      <c r="S384" s="9"/>
      <c r="T384" s="9"/>
      <c r="U384" s="9"/>
      <c r="V384" s="9"/>
      <c r="W384" s="9"/>
      <c r="X384" s="9"/>
      <c r="Y384" s="9"/>
      <c r="Z384" s="9"/>
      <c r="AA384" s="9"/>
      <c r="AB384" s="9"/>
      <c r="AC384" s="9"/>
      <c r="AD384" s="9"/>
    </row>
    <row r="385" spans="1:30" ht="14.25" customHeight="1">
      <c r="A385" s="11"/>
      <c r="B385" s="12"/>
      <c r="C385" s="12"/>
      <c r="D385" s="12"/>
      <c r="E385" s="12"/>
      <c r="F385" s="12"/>
      <c r="G385" s="12"/>
      <c r="H385" s="12"/>
      <c r="I385" s="12"/>
      <c r="J385" s="12"/>
      <c r="K385" s="13"/>
      <c r="L385" s="9"/>
      <c r="M385" s="9"/>
      <c r="N385" s="9"/>
      <c r="O385" s="9"/>
      <c r="P385" s="9"/>
      <c r="Q385" s="9"/>
      <c r="R385" s="9"/>
      <c r="S385" s="9"/>
      <c r="T385" s="9"/>
      <c r="U385" s="9"/>
      <c r="V385" s="9"/>
      <c r="W385" s="9"/>
      <c r="X385" s="9"/>
      <c r="Y385" s="9"/>
      <c r="Z385" s="9"/>
      <c r="AA385" s="9"/>
      <c r="AB385" s="9"/>
      <c r="AC385" s="9"/>
      <c r="AD385" s="9"/>
    </row>
    <row r="386" spans="1:30" ht="14.25" customHeight="1">
      <c r="A386" s="11"/>
      <c r="B386" s="12"/>
      <c r="C386" s="12"/>
      <c r="D386" s="12"/>
      <c r="E386" s="12"/>
      <c r="F386" s="12"/>
      <c r="G386" s="12"/>
      <c r="H386" s="12"/>
      <c r="I386" s="12"/>
      <c r="J386" s="12"/>
      <c r="K386" s="13"/>
      <c r="L386" s="9"/>
      <c r="M386" s="9"/>
      <c r="N386" s="9"/>
      <c r="O386" s="9"/>
      <c r="P386" s="9"/>
      <c r="Q386" s="9"/>
      <c r="R386" s="9"/>
      <c r="S386" s="9"/>
      <c r="T386" s="9"/>
      <c r="U386" s="9"/>
      <c r="V386" s="9"/>
      <c r="W386" s="9"/>
      <c r="X386" s="9"/>
      <c r="Y386" s="9"/>
      <c r="Z386" s="9"/>
      <c r="AA386" s="9"/>
      <c r="AB386" s="9"/>
      <c r="AC386" s="9"/>
      <c r="AD386" s="9"/>
    </row>
    <row r="387" spans="1:30" ht="14.25" customHeight="1">
      <c r="A387" s="11"/>
      <c r="B387" s="12"/>
      <c r="C387" s="12"/>
      <c r="D387" s="12"/>
      <c r="E387" s="12"/>
      <c r="F387" s="12"/>
      <c r="G387" s="12"/>
      <c r="H387" s="12"/>
      <c r="I387" s="12"/>
      <c r="J387" s="12"/>
      <c r="K387" s="13"/>
      <c r="L387" s="9"/>
      <c r="M387" s="9"/>
      <c r="N387" s="9"/>
      <c r="O387" s="9"/>
      <c r="P387" s="9"/>
      <c r="Q387" s="9"/>
      <c r="R387" s="9"/>
      <c r="S387" s="9"/>
      <c r="T387" s="9"/>
      <c r="U387" s="9"/>
      <c r="V387" s="9"/>
      <c r="W387" s="9"/>
      <c r="X387" s="9"/>
      <c r="Y387" s="9"/>
      <c r="Z387" s="9"/>
      <c r="AA387" s="9"/>
      <c r="AB387" s="9"/>
      <c r="AC387" s="9"/>
      <c r="AD387" s="9"/>
    </row>
    <row r="388" spans="1:30" ht="14.25" customHeight="1">
      <c r="A388" s="11"/>
      <c r="B388" s="12"/>
      <c r="C388" s="12"/>
      <c r="D388" s="12"/>
      <c r="E388" s="12"/>
      <c r="F388" s="12"/>
      <c r="G388" s="12"/>
      <c r="H388" s="12"/>
      <c r="I388" s="12"/>
      <c r="J388" s="12"/>
      <c r="K388" s="13"/>
      <c r="L388" s="9"/>
      <c r="M388" s="9"/>
      <c r="N388" s="9"/>
      <c r="O388" s="9"/>
      <c r="P388" s="9"/>
      <c r="Q388" s="9"/>
      <c r="R388" s="9"/>
      <c r="S388" s="9"/>
      <c r="T388" s="9"/>
      <c r="U388" s="9"/>
      <c r="V388" s="9"/>
      <c r="W388" s="9"/>
      <c r="X388" s="9"/>
      <c r="Y388" s="9"/>
      <c r="Z388" s="9"/>
      <c r="AA388" s="9"/>
      <c r="AB388" s="9"/>
      <c r="AC388" s="9"/>
      <c r="AD388" s="9"/>
    </row>
    <row r="389" spans="1:30" ht="14.25" customHeight="1">
      <c r="A389" s="11"/>
      <c r="B389" s="12"/>
      <c r="C389" s="12"/>
      <c r="D389" s="12"/>
      <c r="E389" s="12"/>
      <c r="F389" s="12"/>
      <c r="G389" s="12"/>
      <c r="H389" s="12"/>
      <c r="I389" s="12"/>
      <c r="J389" s="12"/>
      <c r="K389" s="13"/>
      <c r="L389" s="9"/>
      <c r="M389" s="9"/>
      <c r="N389" s="9"/>
      <c r="O389" s="9"/>
      <c r="P389" s="9"/>
      <c r="Q389" s="9"/>
      <c r="R389" s="9"/>
      <c r="S389" s="9"/>
      <c r="T389" s="9"/>
      <c r="U389" s="9"/>
      <c r="V389" s="9"/>
      <c r="W389" s="9"/>
      <c r="X389" s="9"/>
      <c r="Y389" s="9"/>
      <c r="Z389" s="9"/>
      <c r="AA389" s="9"/>
      <c r="AB389" s="9"/>
      <c r="AC389" s="9"/>
      <c r="AD389" s="9"/>
    </row>
    <row r="390" spans="1:30" ht="14.25" customHeight="1">
      <c r="A390" s="11"/>
      <c r="B390" s="12"/>
      <c r="C390" s="12"/>
      <c r="D390" s="12"/>
      <c r="E390" s="12"/>
      <c r="F390" s="12"/>
      <c r="G390" s="12"/>
      <c r="H390" s="12"/>
      <c r="I390" s="12"/>
      <c r="J390" s="12"/>
      <c r="K390" s="13"/>
      <c r="L390" s="9"/>
      <c r="M390" s="9"/>
      <c r="N390" s="9"/>
      <c r="O390" s="9"/>
      <c r="P390" s="9"/>
      <c r="Q390" s="9"/>
      <c r="R390" s="9"/>
      <c r="S390" s="9"/>
      <c r="T390" s="9"/>
      <c r="U390" s="9"/>
      <c r="V390" s="9"/>
      <c r="W390" s="9"/>
      <c r="X390" s="9"/>
      <c r="Y390" s="9"/>
      <c r="Z390" s="9"/>
      <c r="AA390" s="9"/>
      <c r="AB390" s="9"/>
      <c r="AC390" s="9"/>
      <c r="AD390" s="9"/>
    </row>
    <row r="391" spans="1:30" ht="14.25" customHeight="1">
      <c r="A391" s="11"/>
      <c r="B391" s="12"/>
      <c r="C391" s="12"/>
      <c r="D391" s="12"/>
      <c r="E391" s="12"/>
      <c r="F391" s="12"/>
      <c r="G391" s="12"/>
      <c r="H391" s="12"/>
      <c r="I391" s="12"/>
      <c r="J391" s="12"/>
      <c r="K391" s="13"/>
      <c r="L391" s="9"/>
      <c r="M391" s="9"/>
      <c r="N391" s="9"/>
      <c r="O391" s="9"/>
      <c r="P391" s="9"/>
      <c r="Q391" s="9"/>
      <c r="R391" s="9"/>
      <c r="S391" s="9"/>
      <c r="T391" s="9"/>
      <c r="U391" s="9"/>
      <c r="V391" s="9"/>
      <c r="W391" s="9"/>
      <c r="X391" s="9"/>
      <c r="Y391" s="9"/>
      <c r="Z391" s="9"/>
      <c r="AA391" s="9"/>
      <c r="AB391" s="9"/>
      <c r="AC391" s="9"/>
      <c r="AD391" s="9"/>
    </row>
    <row r="392" spans="1:30" ht="14.25" customHeight="1">
      <c r="A392" s="11"/>
      <c r="B392" s="12"/>
      <c r="C392" s="12"/>
      <c r="D392" s="12"/>
      <c r="E392" s="12"/>
      <c r="F392" s="12"/>
      <c r="G392" s="12"/>
      <c r="H392" s="12"/>
      <c r="I392" s="12"/>
      <c r="J392" s="12"/>
      <c r="K392" s="13"/>
      <c r="L392" s="9"/>
      <c r="M392" s="9"/>
      <c r="N392" s="9"/>
      <c r="O392" s="9"/>
      <c r="P392" s="9"/>
      <c r="Q392" s="9"/>
      <c r="R392" s="9"/>
      <c r="S392" s="9"/>
      <c r="T392" s="9"/>
      <c r="U392" s="9"/>
      <c r="V392" s="9"/>
      <c r="W392" s="9"/>
      <c r="X392" s="9"/>
      <c r="Y392" s="9"/>
      <c r="Z392" s="9"/>
      <c r="AA392" s="9"/>
      <c r="AB392" s="9"/>
      <c r="AC392" s="9"/>
      <c r="AD392" s="9"/>
    </row>
    <row r="393" spans="1:30" ht="14.25" customHeight="1">
      <c r="A393" s="11"/>
      <c r="B393" s="12"/>
      <c r="C393" s="12"/>
      <c r="D393" s="12"/>
      <c r="E393" s="12"/>
      <c r="F393" s="12"/>
      <c r="G393" s="12"/>
      <c r="H393" s="12"/>
      <c r="I393" s="12"/>
      <c r="J393" s="12"/>
      <c r="K393" s="13"/>
      <c r="L393" s="9"/>
      <c r="M393" s="9"/>
      <c r="N393" s="9"/>
      <c r="O393" s="9"/>
      <c r="P393" s="9"/>
      <c r="Q393" s="9"/>
      <c r="R393" s="9"/>
      <c r="S393" s="9"/>
      <c r="T393" s="9"/>
      <c r="U393" s="9"/>
      <c r="V393" s="9"/>
      <c r="W393" s="9"/>
      <c r="X393" s="9"/>
      <c r="Y393" s="9"/>
      <c r="Z393" s="9"/>
      <c r="AA393" s="9"/>
      <c r="AB393" s="9"/>
      <c r="AC393" s="9"/>
      <c r="AD393" s="9"/>
    </row>
    <row r="394" spans="1:30" ht="14.25" customHeight="1">
      <c r="A394" s="11"/>
      <c r="B394" s="12"/>
      <c r="C394" s="12"/>
      <c r="D394" s="12"/>
      <c r="E394" s="12"/>
      <c r="F394" s="12"/>
      <c r="G394" s="12"/>
      <c r="H394" s="12"/>
      <c r="I394" s="12"/>
      <c r="J394" s="12"/>
      <c r="K394" s="13"/>
      <c r="L394" s="9"/>
      <c r="M394" s="9"/>
      <c r="N394" s="9"/>
      <c r="O394" s="9"/>
      <c r="P394" s="9"/>
      <c r="Q394" s="9"/>
      <c r="R394" s="9"/>
      <c r="S394" s="9"/>
      <c r="T394" s="9"/>
      <c r="U394" s="9"/>
      <c r="V394" s="9"/>
      <c r="W394" s="9"/>
      <c r="X394" s="9"/>
      <c r="Y394" s="9"/>
      <c r="Z394" s="9"/>
      <c r="AA394" s="9"/>
      <c r="AB394" s="9"/>
      <c r="AC394" s="9"/>
      <c r="AD394" s="9"/>
    </row>
    <row r="395" spans="1:30" ht="14.25" customHeight="1">
      <c r="A395" s="11"/>
      <c r="B395" s="12"/>
      <c r="C395" s="12"/>
      <c r="D395" s="12"/>
      <c r="E395" s="12"/>
      <c r="F395" s="12"/>
      <c r="G395" s="12"/>
      <c r="H395" s="12"/>
      <c r="I395" s="12"/>
      <c r="J395" s="12"/>
      <c r="K395" s="13"/>
      <c r="L395" s="9"/>
      <c r="M395" s="9"/>
      <c r="N395" s="9"/>
      <c r="O395" s="9"/>
      <c r="P395" s="9"/>
      <c r="Q395" s="9"/>
      <c r="R395" s="9"/>
      <c r="S395" s="9"/>
      <c r="T395" s="9"/>
      <c r="U395" s="9"/>
      <c r="V395" s="9"/>
      <c r="W395" s="9"/>
      <c r="X395" s="9"/>
      <c r="Y395" s="9"/>
      <c r="Z395" s="9"/>
      <c r="AA395" s="9"/>
      <c r="AB395" s="9"/>
      <c r="AC395" s="9"/>
      <c r="AD395" s="9"/>
    </row>
    <row r="396" spans="1:30" ht="14.25" customHeight="1">
      <c r="A396" s="11"/>
      <c r="B396" s="12"/>
      <c r="C396" s="12"/>
      <c r="D396" s="12"/>
      <c r="E396" s="12"/>
      <c r="F396" s="12"/>
      <c r="G396" s="12"/>
      <c r="H396" s="12"/>
      <c r="I396" s="12"/>
      <c r="J396" s="12"/>
      <c r="K396" s="13"/>
      <c r="L396" s="9"/>
      <c r="M396" s="9"/>
      <c r="N396" s="9"/>
      <c r="O396" s="9"/>
      <c r="P396" s="9"/>
      <c r="Q396" s="9"/>
      <c r="R396" s="9"/>
      <c r="S396" s="9"/>
      <c r="T396" s="9"/>
      <c r="U396" s="9"/>
      <c r="V396" s="9"/>
      <c r="W396" s="9"/>
      <c r="X396" s="9"/>
      <c r="Y396" s="9"/>
      <c r="Z396" s="9"/>
      <c r="AA396" s="9"/>
      <c r="AB396" s="9"/>
      <c r="AC396" s="9"/>
      <c r="AD396" s="9"/>
    </row>
    <row r="397" spans="1:30" ht="14.25" customHeight="1">
      <c r="A397" s="11"/>
      <c r="B397" s="12"/>
      <c r="C397" s="12"/>
      <c r="D397" s="12"/>
      <c r="E397" s="12"/>
      <c r="F397" s="12"/>
      <c r="G397" s="12"/>
      <c r="H397" s="12"/>
      <c r="I397" s="12"/>
      <c r="J397" s="12"/>
      <c r="K397" s="13"/>
      <c r="L397" s="9"/>
      <c r="M397" s="9"/>
      <c r="N397" s="9"/>
      <c r="O397" s="9"/>
      <c r="P397" s="9"/>
      <c r="Q397" s="9"/>
      <c r="R397" s="9"/>
      <c r="S397" s="9"/>
      <c r="T397" s="9"/>
      <c r="U397" s="9"/>
      <c r="V397" s="9"/>
      <c r="W397" s="9"/>
      <c r="X397" s="9"/>
      <c r="Y397" s="9"/>
      <c r="Z397" s="9"/>
      <c r="AA397" s="9"/>
      <c r="AB397" s="9"/>
      <c r="AC397" s="9"/>
      <c r="AD397" s="9"/>
    </row>
    <row r="398" spans="1:30" ht="14.25" customHeight="1">
      <c r="A398" s="11"/>
      <c r="B398" s="12"/>
      <c r="C398" s="12"/>
      <c r="D398" s="12"/>
      <c r="E398" s="12"/>
      <c r="F398" s="12"/>
      <c r="G398" s="12"/>
      <c r="H398" s="12"/>
      <c r="I398" s="12"/>
      <c r="J398" s="12"/>
      <c r="K398" s="13"/>
      <c r="L398" s="9"/>
      <c r="M398" s="9"/>
      <c r="N398" s="9"/>
      <c r="O398" s="9"/>
      <c r="P398" s="9"/>
      <c r="Q398" s="9"/>
      <c r="R398" s="9"/>
      <c r="S398" s="9"/>
      <c r="T398" s="9"/>
      <c r="U398" s="9"/>
      <c r="V398" s="9"/>
      <c r="W398" s="9"/>
      <c r="X398" s="9"/>
      <c r="Y398" s="9"/>
      <c r="Z398" s="9"/>
      <c r="AA398" s="9"/>
      <c r="AB398" s="9"/>
      <c r="AC398" s="9"/>
      <c r="AD398" s="9"/>
    </row>
    <row r="399" spans="1:30" ht="14.25" customHeight="1">
      <c r="A399" s="11"/>
      <c r="B399" s="12"/>
      <c r="C399" s="12"/>
      <c r="D399" s="12"/>
      <c r="E399" s="12"/>
      <c r="F399" s="12"/>
      <c r="G399" s="12"/>
      <c r="H399" s="12"/>
      <c r="I399" s="12"/>
      <c r="J399" s="12"/>
      <c r="K399" s="13"/>
      <c r="L399" s="9"/>
      <c r="M399" s="9"/>
      <c r="N399" s="9"/>
      <c r="O399" s="9"/>
      <c r="P399" s="9"/>
      <c r="Q399" s="9"/>
      <c r="R399" s="9"/>
      <c r="S399" s="9"/>
      <c r="T399" s="9"/>
      <c r="U399" s="9"/>
      <c r="V399" s="9"/>
      <c r="W399" s="9"/>
      <c r="X399" s="9"/>
      <c r="Y399" s="9"/>
      <c r="Z399" s="9"/>
      <c r="AA399" s="9"/>
      <c r="AB399" s="9"/>
      <c r="AC399" s="9"/>
      <c r="AD399" s="9"/>
    </row>
    <row r="400" spans="1:30" ht="14.25" customHeight="1">
      <c r="A400" s="11"/>
      <c r="B400" s="12"/>
      <c r="C400" s="12"/>
      <c r="D400" s="12"/>
      <c r="E400" s="12"/>
      <c r="F400" s="12"/>
      <c r="G400" s="12"/>
      <c r="H400" s="12"/>
      <c r="I400" s="12"/>
      <c r="J400" s="12"/>
      <c r="K400" s="13"/>
      <c r="L400" s="9"/>
      <c r="M400" s="9"/>
      <c r="N400" s="9"/>
      <c r="O400" s="9"/>
      <c r="P400" s="9"/>
      <c r="Q400" s="9"/>
      <c r="R400" s="9"/>
      <c r="S400" s="9"/>
      <c r="T400" s="9"/>
      <c r="U400" s="9"/>
      <c r="V400" s="9"/>
      <c r="W400" s="9"/>
      <c r="X400" s="9"/>
      <c r="Y400" s="9"/>
      <c r="Z400" s="9"/>
      <c r="AA400" s="9"/>
      <c r="AB400" s="9"/>
      <c r="AC400" s="9"/>
      <c r="AD400" s="9"/>
    </row>
    <row r="401" spans="1:30" ht="14.25" customHeight="1">
      <c r="A401" s="11"/>
      <c r="B401" s="12"/>
      <c r="C401" s="12"/>
      <c r="D401" s="12"/>
      <c r="E401" s="12"/>
      <c r="F401" s="12"/>
      <c r="G401" s="12"/>
      <c r="H401" s="12"/>
      <c r="I401" s="12"/>
      <c r="J401" s="12"/>
      <c r="K401" s="13"/>
      <c r="L401" s="9"/>
      <c r="M401" s="9"/>
      <c r="N401" s="9"/>
      <c r="O401" s="9"/>
      <c r="P401" s="9"/>
      <c r="Q401" s="9"/>
      <c r="R401" s="9"/>
      <c r="S401" s="9"/>
      <c r="T401" s="9"/>
      <c r="U401" s="9"/>
      <c r="V401" s="9"/>
      <c r="W401" s="9"/>
      <c r="X401" s="9"/>
      <c r="Y401" s="9"/>
      <c r="Z401" s="9"/>
      <c r="AA401" s="9"/>
      <c r="AB401" s="9"/>
      <c r="AC401" s="9"/>
      <c r="AD401" s="9"/>
    </row>
    <row r="402" spans="1:30" ht="14.25" customHeight="1">
      <c r="A402" s="11"/>
      <c r="B402" s="12"/>
      <c r="C402" s="12"/>
      <c r="D402" s="12"/>
      <c r="E402" s="12"/>
      <c r="F402" s="12"/>
      <c r="G402" s="12"/>
      <c r="H402" s="12"/>
      <c r="I402" s="12"/>
      <c r="J402" s="12"/>
      <c r="K402" s="13"/>
      <c r="L402" s="9"/>
      <c r="M402" s="9"/>
      <c r="N402" s="9"/>
      <c r="O402" s="9"/>
      <c r="P402" s="9"/>
      <c r="Q402" s="9"/>
      <c r="R402" s="9"/>
      <c r="S402" s="9"/>
      <c r="T402" s="9"/>
      <c r="U402" s="9"/>
      <c r="V402" s="9"/>
      <c r="W402" s="9"/>
      <c r="X402" s="9"/>
      <c r="Y402" s="9"/>
      <c r="Z402" s="9"/>
      <c r="AA402" s="9"/>
      <c r="AB402" s="9"/>
      <c r="AC402" s="9"/>
      <c r="AD402" s="9"/>
    </row>
    <row r="403" spans="1:30" ht="14.25" customHeight="1">
      <c r="A403" s="11"/>
      <c r="B403" s="12"/>
      <c r="C403" s="12"/>
      <c r="D403" s="12"/>
      <c r="E403" s="12"/>
      <c r="F403" s="12"/>
      <c r="G403" s="12"/>
      <c r="H403" s="12"/>
      <c r="I403" s="12"/>
      <c r="J403" s="12"/>
      <c r="K403" s="13"/>
      <c r="L403" s="9"/>
      <c r="M403" s="9"/>
      <c r="N403" s="9"/>
      <c r="O403" s="9"/>
      <c r="P403" s="9"/>
      <c r="Q403" s="9"/>
      <c r="R403" s="9"/>
      <c r="S403" s="9"/>
      <c r="T403" s="9"/>
      <c r="U403" s="9"/>
      <c r="V403" s="9"/>
      <c r="W403" s="9"/>
      <c r="X403" s="9"/>
      <c r="Y403" s="9"/>
      <c r="Z403" s="9"/>
      <c r="AA403" s="9"/>
      <c r="AB403" s="9"/>
      <c r="AC403" s="9"/>
      <c r="AD403" s="9"/>
    </row>
    <row r="404" spans="1:30" ht="14.25" customHeight="1">
      <c r="A404" s="11"/>
      <c r="B404" s="12"/>
      <c r="C404" s="12"/>
      <c r="D404" s="12"/>
      <c r="E404" s="12"/>
      <c r="F404" s="12"/>
      <c r="G404" s="12"/>
      <c r="H404" s="12"/>
      <c r="I404" s="12"/>
      <c r="J404" s="12"/>
      <c r="K404" s="13"/>
      <c r="L404" s="9"/>
      <c r="M404" s="9"/>
      <c r="N404" s="9"/>
      <c r="O404" s="9"/>
      <c r="P404" s="9"/>
      <c r="Q404" s="9"/>
      <c r="R404" s="9"/>
      <c r="S404" s="9"/>
      <c r="T404" s="9"/>
      <c r="U404" s="9"/>
      <c r="V404" s="9"/>
      <c r="W404" s="9"/>
      <c r="X404" s="9"/>
      <c r="Y404" s="9"/>
      <c r="Z404" s="9"/>
      <c r="AA404" s="9"/>
      <c r="AB404" s="9"/>
      <c r="AC404" s="9"/>
      <c r="AD404" s="9"/>
    </row>
    <row r="405" spans="1:30" ht="14.25" customHeight="1">
      <c r="A405" s="11"/>
      <c r="B405" s="12"/>
      <c r="C405" s="12"/>
      <c r="D405" s="12"/>
      <c r="E405" s="12"/>
      <c r="F405" s="12"/>
      <c r="G405" s="12"/>
      <c r="H405" s="12"/>
      <c r="I405" s="12"/>
      <c r="J405" s="12"/>
      <c r="K405" s="13"/>
      <c r="L405" s="9"/>
      <c r="M405" s="9"/>
      <c r="N405" s="9"/>
      <c r="O405" s="9"/>
      <c r="P405" s="9"/>
      <c r="Q405" s="9"/>
      <c r="R405" s="9"/>
      <c r="S405" s="9"/>
      <c r="T405" s="9"/>
      <c r="U405" s="9"/>
      <c r="V405" s="9"/>
      <c r="W405" s="9"/>
      <c r="X405" s="9"/>
      <c r="Y405" s="9"/>
      <c r="Z405" s="9"/>
      <c r="AA405" s="9"/>
      <c r="AB405" s="9"/>
      <c r="AC405" s="9"/>
      <c r="AD405" s="9"/>
    </row>
    <row r="406" spans="1:30" ht="14.25" customHeight="1">
      <c r="A406" s="11"/>
      <c r="B406" s="12"/>
      <c r="C406" s="12"/>
      <c r="D406" s="12"/>
      <c r="E406" s="12"/>
      <c r="F406" s="12"/>
      <c r="G406" s="12"/>
      <c r="H406" s="12"/>
      <c r="I406" s="12"/>
      <c r="J406" s="12"/>
      <c r="K406" s="13"/>
      <c r="L406" s="9"/>
      <c r="M406" s="9"/>
      <c r="N406" s="9"/>
      <c r="O406" s="9"/>
      <c r="P406" s="9"/>
      <c r="Q406" s="9"/>
      <c r="R406" s="9"/>
      <c r="S406" s="9"/>
      <c r="T406" s="9"/>
      <c r="U406" s="9"/>
      <c r="V406" s="9"/>
      <c r="W406" s="9"/>
      <c r="X406" s="9"/>
      <c r="Y406" s="9"/>
      <c r="Z406" s="9"/>
      <c r="AA406" s="9"/>
      <c r="AB406" s="9"/>
      <c r="AC406" s="9"/>
      <c r="AD406" s="9"/>
    </row>
    <row r="407" spans="1:30" ht="14.25" customHeight="1">
      <c r="A407" s="11"/>
      <c r="B407" s="12"/>
      <c r="C407" s="12"/>
      <c r="D407" s="12"/>
      <c r="E407" s="12"/>
      <c r="F407" s="12"/>
      <c r="G407" s="12"/>
      <c r="H407" s="12"/>
      <c r="I407" s="12"/>
      <c r="J407" s="12"/>
      <c r="K407" s="13"/>
      <c r="L407" s="9"/>
      <c r="M407" s="9"/>
      <c r="N407" s="9"/>
      <c r="O407" s="9"/>
      <c r="P407" s="9"/>
      <c r="Q407" s="9"/>
      <c r="R407" s="9"/>
      <c r="S407" s="9"/>
      <c r="T407" s="9"/>
      <c r="U407" s="9"/>
      <c r="V407" s="9"/>
      <c r="W407" s="9"/>
      <c r="X407" s="9"/>
      <c r="Y407" s="9"/>
      <c r="Z407" s="9"/>
      <c r="AA407" s="9"/>
      <c r="AB407" s="9"/>
      <c r="AC407" s="9"/>
      <c r="AD407" s="9"/>
    </row>
    <row r="408" spans="1:30" ht="14.25" customHeight="1">
      <c r="A408" s="11"/>
      <c r="B408" s="12"/>
      <c r="C408" s="12"/>
      <c r="D408" s="12"/>
      <c r="E408" s="12"/>
      <c r="F408" s="12"/>
      <c r="G408" s="12"/>
      <c r="H408" s="12"/>
      <c r="I408" s="12"/>
      <c r="J408" s="12"/>
      <c r="K408" s="13"/>
      <c r="L408" s="9"/>
      <c r="M408" s="9"/>
      <c r="N408" s="9"/>
      <c r="O408" s="9"/>
      <c r="P408" s="9"/>
      <c r="Q408" s="9"/>
      <c r="R408" s="9"/>
      <c r="S408" s="9"/>
      <c r="T408" s="9"/>
      <c r="U408" s="9"/>
      <c r="V408" s="9"/>
      <c r="W408" s="9"/>
      <c r="X408" s="9"/>
      <c r="Y408" s="9"/>
      <c r="Z408" s="9"/>
      <c r="AA408" s="9"/>
      <c r="AB408" s="9"/>
      <c r="AC408" s="9"/>
      <c r="AD408" s="9"/>
    </row>
    <row r="409" spans="1:30" ht="14.25" customHeight="1">
      <c r="A409" s="11"/>
      <c r="B409" s="12"/>
      <c r="C409" s="12"/>
      <c r="D409" s="12"/>
      <c r="E409" s="12"/>
      <c r="F409" s="12"/>
      <c r="G409" s="12"/>
      <c r="H409" s="12"/>
      <c r="I409" s="12"/>
      <c r="J409" s="12"/>
      <c r="K409" s="13"/>
      <c r="L409" s="9"/>
      <c r="M409" s="9"/>
      <c r="N409" s="9"/>
      <c r="O409" s="9"/>
      <c r="P409" s="9"/>
      <c r="Q409" s="9"/>
      <c r="R409" s="9"/>
      <c r="S409" s="9"/>
      <c r="T409" s="9"/>
      <c r="U409" s="9"/>
      <c r="V409" s="9"/>
      <c r="W409" s="9"/>
      <c r="X409" s="9"/>
      <c r="Y409" s="9"/>
      <c r="Z409" s="9"/>
      <c r="AA409" s="9"/>
      <c r="AB409" s="9"/>
      <c r="AC409" s="9"/>
      <c r="AD409" s="9"/>
    </row>
    <row r="410" spans="1:30" ht="14.25" customHeight="1">
      <c r="A410" s="11"/>
      <c r="B410" s="12"/>
      <c r="C410" s="12"/>
      <c r="D410" s="12"/>
      <c r="E410" s="12"/>
      <c r="F410" s="12"/>
      <c r="G410" s="12"/>
      <c r="H410" s="12"/>
      <c r="I410" s="12"/>
      <c r="J410" s="12"/>
      <c r="K410" s="13"/>
      <c r="L410" s="9"/>
      <c r="M410" s="9"/>
      <c r="N410" s="9"/>
      <c r="O410" s="9"/>
      <c r="P410" s="9"/>
      <c r="Q410" s="9"/>
      <c r="R410" s="9"/>
      <c r="S410" s="9"/>
      <c r="T410" s="9"/>
      <c r="U410" s="9"/>
      <c r="V410" s="9"/>
      <c r="W410" s="9"/>
      <c r="X410" s="9"/>
      <c r="Y410" s="9"/>
      <c r="Z410" s="9"/>
      <c r="AA410" s="9"/>
      <c r="AB410" s="9"/>
      <c r="AC410" s="9"/>
      <c r="AD410" s="9"/>
    </row>
    <row r="411" spans="1:30" ht="14.25" customHeight="1">
      <c r="A411" s="11"/>
      <c r="B411" s="12"/>
      <c r="C411" s="12"/>
      <c r="D411" s="12"/>
      <c r="E411" s="12"/>
      <c r="F411" s="12"/>
      <c r="G411" s="12"/>
      <c r="H411" s="12"/>
      <c r="I411" s="12"/>
      <c r="J411" s="12"/>
      <c r="K411" s="13"/>
      <c r="L411" s="9"/>
      <c r="M411" s="9"/>
      <c r="N411" s="9"/>
      <c r="O411" s="9"/>
      <c r="P411" s="9"/>
      <c r="Q411" s="9"/>
      <c r="R411" s="9"/>
      <c r="S411" s="9"/>
      <c r="T411" s="9"/>
      <c r="U411" s="9"/>
      <c r="V411" s="9"/>
      <c r="W411" s="9"/>
      <c r="X411" s="9"/>
      <c r="Y411" s="9"/>
      <c r="Z411" s="9"/>
      <c r="AA411" s="9"/>
      <c r="AB411" s="9"/>
      <c r="AC411" s="9"/>
      <c r="AD411" s="9"/>
    </row>
    <row r="412" spans="1:30" ht="14.25" customHeight="1">
      <c r="A412" s="11"/>
      <c r="B412" s="12"/>
      <c r="C412" s="12"/>
      <c r="D412" s="12"/>
      <c r="E412" s="12"/>
      <c r="F412" s="12"/>
      <c r="G412" s="12"/>
      <c r="H412" s="12"/>
      <c r="I412" s="12"/>
      <c r="J412" s="12"/>
      <c r="K412" s="13"/>
      <c r="L412" s="9"/>
      <c r="M412" s="9"/>
      <c r="N412" s="9"/>
      <c r="O412" s="9"/>
      <c r="P412" s="9"/>
      <c r="Q412" s="9"/>
      <c r="R412" s="9"/>
      <c r="S412" s="9"/>
      <c r="T412" s="9"/>
      <c r="U412" s="9"/>
      <c r="V412" s="9"/>
      <c r="W412" s="9"/>
      <c r="X412" s="9"/>
      <c r="Y412" s="9"/>
      <c r="Z412" s="9"/>
      <c r="AA412" s="9"/>
      <c r="AB412" s="9"/>
      <c r="AC412" s="9"/>
      <c r="AD412" s="9"/>
    </row>
    <row r="413" spans="1:30" ht="14.25" customHeight="1">
      <c r="A413" s="11"/>
      <c r="B413" s="12"/>
      <c r="C413" s="12"/>
      <c r="D413" s="12"/>
      <c r="E413" s="12"/>
      <c r="F413" s="12"/>
      <c r="G413" s="12"/>
      <c r="H413" s="12"/>
      <c r="I413" s="12"/>
      <c r="J413" s="12"/>
      <c r="K413" s="13"/>
      <c r="L413" s="9"/>
      <c r="M413" s="9"/>
      <c r="N413" s="9"/>
      <c r="O413" s="9"/>
      <c r="P413" s="9"/>
      <c r="Q413" s="9"/>
      <c r="R413" s="9"/>
      <c r="S413" s="9"/>
      <c r="T413" s="9"/>
      <c r="U413" s="9"/>
      <c r="V413" s="9"/>
      <c r="W413" s="9"/>
      <c r="X413" s="9"/>
      <c r="Y413" s="9"/>
      <c r="Z413" s="9"/>
      <c r="AA413" s="9"/>
      <c r="AB413" s="9"/>
      <c r="AC413" s="9"/>
      <c r="AD413" s="9"/>
    </row>
    <row r="414" spans="1:30" ht="14.25" customHeight="1">
      <c r="A414" s="11"/>
      <c r="B414" s="12"/>
      <c r="C414" s="12"/>
      <c r="D414" s="12"/>
      <c r="E414" s="12"/>
      <c r="F414" s="12"/>
      <c r="G414" s="12"/>
      <c r="H414" s="12"/>
      <c r="I414" s="12"/>
      <c r="J414" s="12"/>
      <c r="K414" s="13"/>
      <c r="L414" s="9"/>
      <c r="M414" s="9"/>
      <c r="N414" s="9"/>
      <c r="O414" s="9"/>
      <c r="P414" s="9"/>
      <c r="Q414" s="9"/>
      <c r="R414" s="9"/>
      <c r="S414" s="9"/>
      <c r="T414" s="9"/>
      <c r="U414" s="9"/>
      <c r="V414" s="9"/>
      <c r="W414" s="9"/>
      <c r="X414" s="9"/>
      <c r="Y414" s="9"/>
      <c r="Z414" s="9"/>
      <c r="AA414" s="9"/>
      <c r="AB414" s="9"/>
      <c r="AC414" s="9"/>
      <c r="AD414" s="9"/>
    </row>
    <row r="415" spans="1:30" ht="14.25" customHeight="1">
      <c r="A415" s="11"/>
      <c r="B415" s="12"/>
      <c r="C415" s="12"/>
      <c r="D415" s="12"/>
      <c r="E415" s="12"/>
      <c r="F415" s="12"/>
      <c r="G415" s="12"/>
      <c r="H415" s="12"/>
      <c r="I415" s="12"/>
      <c r="J415" s="12"/>
      <c r="K415" s="13"/>
      <c r="L415" s="9"/>
      <c r="M415" s="9"/>
      <c r="N415" s="9"/>
      <c r="O415" s="9"/>
      <c r="P415" s="9"/>
      <c r="Q415" s="9"/>
      <c r="R415" s="9"/>
      <c r="S415" s="9"/>
      <c r="T415" s="9"/>
      <c r="U415" s="9"/>
      <c r="V415" s="9"/>
      <c r="W415" s="9"/>
      <c r="X415" s="9"/>
      <c r="Y415" s="9"/>
      <c r="Z415" s="9"/>
      <c r="AA415" s="9"/>
      <c r="AB415" s="9"/>
      <c r="AC415" s="9"/>
      <c r="AD415" s="9"/>
    </row>
    <row r="416" spans="1:30" ht="14.25" customHeight="1">
      <c r="A416" s="11"/>
      <c r="B416" s="12"/>
      <c r="C416" s="12"/>
      <c r="D416" s="12"/>
      <c r="E416" s="12"/>
      <c r="F416" s="12"/>
      <c r="G416" s="12"/>
      <c r="H416" s="12"/>
      <c r="I416" s="12"/>
      <c r="J416" s="12"/>
      <c r="K416" s="13"/>
      <c r="L416" s="9"/>
      <c r="M416" s="9"/>
      <c r="N416" s="9"/>
      <c r="O416" s="9"/>
      <c r="P416" s="9"/>
      <c r="Q416" s="9"/>
      <c r="R416" s="9"/>
      <c r="S416" s="9"/>
      <c r="T416" s="9"/>
      <c r="U416" s="9"/>
      <c r="V416" s="9"/>
      <c r="W416" s="9"/>
      <c r="X416" s="9"/>
      <c r="Y416" s="9"/>
      <c r="Z416" s="9"/>
      <c r="AA416" s="9"/>
      <c r="AB416" s="9"/>
      <c r="AC416" s="9"/>
      <c r="AD416" s="9"/>
    </row>
    <row r="417" spans="1:30" ht="14.25" customHeight="1">
      <c r="A417" s="11"/>
      <c r="B417" s="12"/>
      <c r="C417" s="12"/>
      <c r="D417" s="12"/>
      <c r="E417" s="12"/>
      <c r="F417" s="12"/>
      <c r="G417" s="12"/>
      <c r="H417" s="12"/>
      <c r="I417" s="12"/>
      <c r="J417" s="12"/>
      <c r="K417" s="13"/>
      <c r="L417" s="9"/>
      <c r="M417" s="9"/>
      <c r="N417" s="9"/>
      <c r="O417" s="9"/>
      <c r="P417" s="9"/>
      <c r="Q417" s="9"/>
      <c r="R417" s="9"/>
      <c r="S417" s="9"/>
      <c r="T417" s="9"/>
      <c r="U417" s="9"/>
      <c r="V417" s="9"/>
      <c r="W417" s="9"/>
      <c r="X417" s="9"/>
      <c r="Y417" s="9"/>
      <c r="Z417" s="9"/>
      <c r="AA417" s="9"/>
      <c r="AB417" s="9"/>
      <c r="AC417" s="9"/>
      <c r="AD417" s="9"/>
    </row>
    <row r="418" spans="1:30" ht="14.25" customHeight="1">
      <c r="A418" s="11"/>
      <c r="B418" s="12"/>
      <c r="C418" s="12"/>
      <c r="D418" s="12"/>
      <c r="E418" s="12"/>
      <c r="F418" s="12"/>
      <c r="G418" s="12"/>
      <c r="H418" s="12"/>
      <c r="I418" s="12"/>
      <c r="J418" s="12"/>
      <c r="K418" s="13"/>
      <c r="L418" s="9"/>
      <c r="M418" s="9"/>
      <c r="N418" s="9"/>
      <c r="O418" s="9"/>
      <c r="P418" s="9"/>
      <c r="Q418" s="9"/>
      <c r="R418" s="9"/>
      <c r="S418" s="9"/>
      <c r="T418" s="9"/>
      <c r="U418" s="9"/>
      <c r="V418" s="9"/>
      <c r="W418" s="9"/>
      <c r="X418" s="9"/>
      <c r="Y418" s="9"/>
      <c r="Z418" s="9"/>
      <c r="AA418" s="9"/>
      <c r="AB418" s="9"/>
      <c r="AC418" s="9"/>
      <c r="AD418" s="9"/>
    </row>
    <row r="419" spans="1:30" ht="14.25" customHeight="1">
      <c r="A419" s="11"/>
      <c r="B419" s="12"/>
      <c r="C419" s="12"/>
      <c r="D419" s="12"/>
      <c r="E419" s="12"/>
      <c r="F419" s="12"/>
      <c r="G419" s="12"/>
      <c r="H419" s="12"/>
      <c r="I419" s="12"/>
      <c r="J419" s="12"/>
      <c r="K419" s="13"/>
      <c r="L419" s="9"/>
      <c r="M419" s="9"/>
      <c r="N419" s="9"/>
      <c r="O419" s="9"/>
      <c r="P419" s="9"/>
      <c r="Q419" s="9"/>
      <c r="R419" s="9"/>
      <c r="S419" s="9"/>
      <c r="T419" s="9"/>
      <c r="U419" s="9"/>
      <c r="V419" s="9"/>
      <c r="W419" s="9"/>
      <c r="X419" s="9"/>
      <c r="Y419" s="9"/>
      <c r="Z419" s="9"/>
      <c r="AA419" s="9"/>
      <c r="AB419" s="9"/>
      <c r="AC419" s="9"/>
      <c r="AD419" s="9"/>
    </row>
    <row r="420" spans="1:30" ht="14.25" customHeight="1">
      <c r="A420" s="11"/>
      <c r="B420" s="12"/>
      <c r="C420" s="12"/>
      <c r="D420" s="12"/>
      <c r="E420" s="12"/>
      <c r="F420" s="12"/>
      <c r="G420" s="12"/>
      <c r="H420" s="12"/>
      <c r="I420" s="12"/>
      <c r="J420" s="12"/>
      <c r="K420" s="13"/>
      <c r="L420" s="9"/>
      <c r="M420" s="9"/>
      <c r="N420" s="9"/>
      <c r="O420" s="9"/>
      <c r="P420" s="9"/>
      <c r="Q420" s="9"/>
      <c r="R420" s="9"/>
      <c r="S420" s="9"/>
      <c r="T420" s="9"/>
      <c r="U420" s="9"/>
      <c r="V420" s="9"/>
      <c r="W420" s="9"/>
      <c r="X420" s="9"/>
      <c r="Y420" s="9"/>
      <c r="Z420" s="9"/>
      <c r="AA420" s="9"/>
      <c r="AB420" s="9"/>
      <c r="AC420" s="9"/>
      <c r="AD420" s="9"/>
    </row>
    <row r="421" spans="1:30" ht="14.25" customHeight="1">
      <c r="A421" s="11"/>
      <c r="B421" s="12"/>
      <c r="C421" s="12"/>
      <c r="D421" s="12"/>
      <c r="E421" s="12"/>
      <c r="F421" s="12"/>
      <c r="G421" s="12"/>
      <c r="H421" s="12"/>
      <c r="I421" s="12"/>
      <c r="J421" s="12"/>
      <c r="K421" s="13"/>
      <c r="L421" s="9"/>
      <c r="M421" s="9"/>
      <c r="N421" s="9"/>
      <c r="O421" s="9"/>
      <c r="P421" s="9"/>
      <c r="Q421" s="9"/>
      <c r="R421" s="9"/>
      <c r="S421" s="9"/>
      <c r="T421" s="9"/>
      <c r="U421" s="9"/>
      <c r="V421" s="9"/>
      <c r="W421" s="9"/>
      <c r="X421" s="9"/>
      <c r="Y421" s="9"/>
      <c r="Z421" s="9"/>
      <c r="AA421" s="9"/>
      <c r="AB421" s="9"/>
      <c r="AC421" s="9"/>
      <c r="AD421" s="9"/>
    </row>
    <row r="422" spans="1:30" ht="14.25" customHeight="1">
      <c r="A422" s="11"/>
      <c r="B422" s="12"/>
      <c r="C422" s="12"/>
      <c r="D422" s="12"/>
      <c r="E422" s="12"/>
      <c r="F422" s="12"/>
      <c r="G422" s="12"/>
      <c r="H422" s="12"/>
      <c r="I422" s="12"/>
      <c r="J422" s="12"/>
      <c r="K422" s="13"/>
      <c r="L422" s="9"/>
      <c r="M422" s="9"/>
      <c r="N422" s="9"/>
      <c r="O422" s="9"/>
      <c r="P422" s="9"/>
      <c r="Q422" s="9"/>
      <c r="R422" s="9"/>
      <c r="S422" s="9"/>
      <c r="T422" s="9"/>
      <c r="U422" s="9"/>
      <c r="V422" s="9"/>
      <c r="W422" s="9"/>
      <c r="X422" s="9"/>
      <c r="Y422" s="9"/>
      <c r="Z422" s="9"/>
      <c r="AA422" s="9"/>
      <c r="AB422" s="9"/>
      <c r="AC422" s="9"/>
      <c r="AD422" s="9"/>
    </row>
    <row r="423" spans="1:30" ht="14.25" customHeight="1">
      <c r="A423" s="11"/>
      <c r="B423" s="12"/>
      <c r="C423" s="12"/>
      <c r="D423" s="12"/>
      <c r="E423" s="12"/>
      <c r="F423" s="12"/>
      <c r="G423" s="12"/>
      <c r="H423" s="12"/>
      <c r="I423" s="12"/>
      <c r="J423" s="12"/>
      <c r="K423" s="13"/>
      <c r="L423" s="9"/>
      <c r="M423" s="9"/>
      <c r="N423" s="9"/>
      <c r="O423" s="9"/>
      <c r="P423" s="9"/>
      <c r="Q423" s="9"/>
      <c r="R423" s="9"/>
      <c r="S423" s="9"/>
      <c r="T423" s="9"/>
      <c r="U423" s="9"/>
      <c r="V423" s="9"/>
      <c r="W423" s="9"/>
      <c r="X423" s="9"/>
      <c r="Y423" s="9"/>
      <c r="Z423" s="9"/>
      <c r="AA423" s="9"/>
      <c r="AB423" s="9"/>
      <c r="AC423" s="9"/>
      <c r="AD423" s="9"/>
    </row>
    <row r="424" spans="1:30" ht="14.25" customHeight="1">
      <c r="A424" s="11"/>
      <c r="B424" s="12"/>
      <c r="C424" s="12"/>
      <c r="D424" s="12"/>
      <c r="E424" s="12"/>
      <c r="F424" s="12"/>
      <c r="G424" s="12"/>
      <c r="H424" s="12"/>
      <c r="I424" s="12"/>
      <c r="J424" s="12"/>
      <c r="K424" s="13"/>
      <c r="L424" s="9"/>
      <c r="M424" s="9"/>
      <c r="N424" s="9"/>
      <c r="O424" s="9"/>
      <c r="P424" s="9"/>
      <c r="Q424" s="9"/>
      <c r="R424" s="9"/>
      <c r="S424" s="9"/>
      <c r="T424" s="9"/>
      <c r="U424" s="9"/>
      <c r="V424" s="9"/>
      <c r="W424" s="9"/>
      <c r="X424" s="9"/>
      <c r="Y424" s="9"/>
      <c r="Z424" s="9"/>
      <c r="AA424" s="9"/>
      <c r="AB424" s="9"/>
      <c r="AC424" s="9"/>
      <c r="AD424" s="9"/>
    </row>
    <row r="425" spans="1:30" ht="14.25" customHeight="1">
      <c r="A425" s="11"/>
      <c r="B425" s="12"/>
      <c r="C425" s="12"/>
      <c r="D425" s="12"/>
      <c r="E425" s="12"/>
      <c r="F425" s="12"/>
      <c r="G425" s="12"/>
      <c r="H425" s="12"/>
      <c r="I425" s="12"/>
      <c r="J425" s="12"/>
      <c r="K425" s="13"/>
      <c r="L425" s="9"/>
      <c r="M425" s="9"/>
      <c r="N425" s="9"/>
      <c r="O425" s="9"/>
      <c r="P425" s="9"/>
      <c r="Q425" s="9"/>
      <c r="R425" s="9"/>
      <c r="S425" s="9"/>
      <c r="T425" s="9"/>
      <c r="U425" s="9"/>
      <c r="V425" s="9"/>
      <c r="W425" s="9"/>
      <c r="X425" s="9"/>
      <c r="Y425" s="9"/>
      <c r="Z425" s="9"/>
      <c r="AA425" s="9"/>
      <c r="AB425" s="9"/>
      <c r="AC425" s="9"/>
      <c r="AD425" s="9"/>
    </row>
    <row r="426" spans="1:30" ht="14.25" customHeight="1">
      <c r="A426" s="11"/>
      <c r="B426" s="12"/>
      <c r="C426" s="12"/>
      <c r="D426" s="12"/>
      <c r="E426" s="12"/>
      <c r="F426" s="12"/>
      <c r="G426" s="12"/>
      <c r="H426" s="12"/>
      <c r="I426" s="12"/>
      <c r="J426" s="12"/>
      <c r="K426" s="13"/>
      <c r="L426" s="9"/>
      <c r="M426" s="9"/>
      <c r="N426" s="9"/>
      <c r="O426" s="9"/>
      <c r="P426" s="9"/>
      <c r="Q426" s="9"/>
      <c r="R426" s="9"/>
      <c r="S426" s="9"/>
      <c r="T426" s="9"/>
      <c r="U426" s="9"/>
      <c r="V426" s="9"/>
      <c r="W426" s="9"/>
      <c r="X426" s="9"/>
      <c r="Y426" s="9"/>
      <c r="Z426" s="9"/>
      <c r="AA426" s="9"/>
      <c r="AB426" s="9"/>
      <c r="AC426" s="9"/>
      <c r="AD426" s="9"/>
    </row>
    <row r="427" spans="1:30" ht="14.25" customHeight="1">
      <c r="A427" s="11"/>
      <c r="B427" s="12"/>
      <c r="C427" s="12"/>
      <c r="D427" s="12"/>
      <c r="E427" s="12"/>
      <c r="F427" s="12"/>
      <c r="G427" s="12"/>
      <c r="H427" s="12"/>
      <c r="I427" s="12"/>
      <c r="J427" s="12"/>
      <c r="K427" s="13"/>
      <c r="L427" s="9"/>
      <c r="M427" s="9"/>
      <c r="N427" s="9"/>
      <c r="O427" s="9"/>
      <c r="P427" s="9"/>
      <c r="Q427" s="9"/>
      <c r="R427" s="9"/>
      <c r="S427" s="9"/>
      <c r="T427" s="9"/>
      <c r="U427" s="9"/>
      <c r="V427" s="9"/>
      <c r="W427" s="9"/>
      <c r="X427" s="9"/>
      <c r="Y427" s="9"/>
      <c r="Z427" s="9"/>
      <c r="AA427" s="9"/>
      <c r="AB427" s="9"/>
      <c r="AC427" s="9"/>
      <c r="AD427" s="9"/>
    </row>
    <row r="428" spans="1:30" ht="14.25" customHeight="1">
      <c r="A428" s="11"/>
      <c r="B428" s="12"/>
      <c r="C428" s="12"/>
      <c r="D428" s="12"/>
      <c r="E428" s="12"/>
      <c r="F428" s="12"/>
      <c r="G428" s="12"/>
      <c r="H428" s="12"/>
      <c r="I428" s="12"/>
      <c r="J428" s="12"/>
      <c r="K428" s="13"/>
      <c r="L428" s="9"/>
      <c r="M428" s="9"/>
      <c r="N428" s="9"/>
      <c r="O428" s="9"/>
      <c r="P428" s="9"/>
      <c r="Q428" s="9"/>
      <c r="R428" s="9"/>
      <c r="S428" s="9"/>
      <c r="T428" s="9"/>
      <c r="U428" s="9"/>
      <c r="V428" s="9"/>
      <c r="W428" s="9"/>
      <c r="X428" s="9"/>
      <c r="Y428" s="9"/>
      <c r="Z428" s="9"/>
      <c r="AA428" s="9"/>
      <c r="AB428" s="9"/>
      <c r="AC428" s="9"/>
      <c r="AD428" s="9"/>
    </row>
    <row r="429" spans="1:30" ht="14.25" customHeight="1">
      <c r="A429" s="11"/>
      <c r="B429" s="12"/>
      <c r="C429" s="12"/>
      <c r="D429" s="12"/>
      <c r="E429" s="12"/>
      <c r="F429" s="12"/>
      <c r="G429" s="12"/>
      <c r="H429" s="12"/>
      <c r="I429" s="12"/>
      <c r="J429" s="12"/>
      <c r="K429" s="13"/>
      <c r="L429" s="9"/>
      <c r="M429" s="9"/>
      <c r="N429" s="9"/>
      <c r="O429" s="9"/>
      <c r="P429" s="9"/>
      <c r="Q429" s="9"/>
      <c r="R429" s="9"/>
      <c r="S429" s="9"/>
      <c r="T429" s="9"/>
      <c r="U429" s="9"/>
      <c r="V429" s="9"/>
      <c r="W429" s="9"/>
      <c r="X429" s="9"/>
      <c r="Y429" s="9"/>
      <c r="Z429" s="9"/>
      <c r="AA429" s="9"/>
      <c r="AB429" s="9"/>
      <c r="AC429" s="9"/>
      <c r="AD429" s="9"/>
    </row>
    <row r="430" spans="1:30" ht="14.25" customHeight="1">
      <c r="A430" s="11"/>
      <c r="B430" s="12"/>
      <c r="C430" s="12"/>
      <c r="D430" s="12"/>
      <c r="E430" s="12"/>
      <c r="F430" s="12"/>
      <c r="G430" s="12"/>
      <c r="H430" s="12"/>
      <c r="I430" s="12"/>
      <c r="J430" s="12"/>
      <c r="K430" s="13"/>
      <c r="L430" s="9"/>
      <c r="M430" s="9"/>
      <c r="N430" s="9"/>
      <c r="O430" s="9"/>
      <c r="P430" s="9"/>
      <c r="Q430" s="9"/>
      <c r="R430" s="9"/>
      <c r="S430" s="9"/>
      <c r="T430" s="9"/>
      <c r="U430" s="9"/>
      <c r="V430" s="9"/>
      <c r="W430" s="9"/>
      <c r="X430" s="9"/>
      <c r="Y430" s="9"/>
      <c r="Z430" s="9"/>
      <c r="AA430" s="9"/>
      <c r="AB430" s="9"/>
      <c r="AC430" s="9"/>
      <c r="AD430" s="9"/>
    </row>
    <row r="431" spans="1:30" ht="14.25" customHeight="1">
      <c r="A431" s="11"/>
      <c r="B431" s="12"/>
      <c r="C431" s="12"/>
      <c r="D431" s="12"/>
      <c r="E431" s="12"/>
      <c r="F431" s="12"/>
      <c r="G431" s="12"/>
      <c r="H431" s="12"/>
      <c r="I431" s="12"/>
      <c r="J431" s="12"/>
      <c r="K431" s="13"/>
      <c r="L431" s="9"/>
      <c r="M431" s="9"/>
      <c r="N431" s="9"/>
      <c r="O431" s="9"/>
      <c r="P431" s="9"/>
      <c r="Q431" s="9"/>
      <c r="R431" s="9"/>
      <c r="S431" s="9"/>
      <c r="T431" s="9"/>
      <c r="U431" s="9"/>
      <c r="V431" s="9"/>
      <c r="W431" s="9"/>
      <c r="X431" s="9"/>
      <c r="Y431" s="9"/>
      <c r="Z431" s="9"/>
      <c r="AA431" s="9"/>
      <c r="AB431" s="9"/>
      <c r="AC431" s="9"/>
      <c r="AD431" s="9"/>
    </row>
    <row r="432" spans="1:30" ht="14.25" customHeight="1">
      <c r="A432" s="11"/>
      <c r="B432" s="12"/>
      <c r="C432" s="12"/>
      <c r="D432" s="12"/>
      <c r="E432" s="12"/>
      <c r="F432" s="12"/>
      <c r="G432" s="12"/>
      <c r="H432" s="12"/>
      <c r="I432" s="12"/>
      <c r="J432" s="12"/>
      <c r="K432" s="13"/>
      <c r="L432" s="9"/>
      <c r="M432" s="9"/>
      <c r="N432" s="9"/>
      <c r="O432" s="9"/>
      <c r="P432" s="9"/>
      <c r="Q432" s="9"/>
      <c r="R432" s="9"/>
      <c r="S432" s="9"/>
      <c r="T432" s="9"/>
      <c r="U432" s="9"/>
      <c r="V432" s="9"/>
      <c r="W432" s="9"/>
      <c r="X432" s="9"/>
      <c r="Y432" s="9"/>
      <c r="Z432" s="9"/>
      <c r="AA432" s="9"/>
      <c r="AB432" s="9"/>
      <c r="AC432" s="9"/>
      <c r="AD432" s="9"/>
    </row>
    <row r="433" spans="1:30" ht="14.25" customHeight="1">
      <c r="A433" s="11"/>
      <c r="B433" s="12"/>
      <c r="C433" s="12"/>
      <c r="D433" s="12"/>
      <c r="E433" s="12"/>
      <c r="F433" s="12"/>
      <c r="G433" s="12"/>
      <c r="H433" s="12"/>
      <c r="I433" s="12"/>
      <c r="J433" s="12"/>
      <c r="K433" s="13"/>
      <c r="L433" s="9"/>
      <c r="M433" s="9"/>
      <c r="N433" s="9"/>
      <c r="O433" s="9"/>
      <c r="P433" s="9"/>
      <c r="Q433" s="9"/>
      <c r="R433" s="9"/>
      <c r="S433" s="9"/>
      <c r="T433" s="9"/>
      <c r="U433" s="9"/>
      <c r="V433" s="9"/>
      <c r="W433" s="9"/>
      <c r="X433" s="9"/>
      <c r="Y433" s="9"/>
      <c r="Z433" s="9"/>
      <c r="AA433" s="9"/>
      <c r="AB433" s="9"/>
      <c r="AC433" s="9"/>
      <c r="AD433" s="9"/>
    </row>
    <row r="434" spans="1:30" ht="14.25" customHeight="1">
      <c r="A434" s="11"/>
      <c r="B434" s="12"/>
      <c r="C434" s="12"/>
      <c r="D434" s="12"/>
      <c r="E434" s="12"/>
      <c r="F434" s="12"/>
      <c r="G434" s="12"/>
      <c r="H434" s="12"/>
      <c r="I434" s="12"/>
      <c r="J434" s="12"/>
      <c r="K434" s="13"/>
      <c r="L434" s="9"/>
      <c r="M434" s="9"/>
      <c r="N434" s="9"/>
      <c r="O434" s="9"/>
      <c r="P434" s="9"/>
      <c r="Q434" s="9"/>
      <c r="R434" s="9"/>
      <c r="S434" s="9"/>
      <c r="T434" s="9"/>
      <c r="U434" s="9"/>
      <c r="V434" s="9"/>
      <c r="W434" s="9"/>
      <c r="X434" s="9"/>
      <c r="Y434" s="9"/>
      <c r="Z434" s="9"/>
      <c r="AA434" s="9"/>
      <c r="AB434" s="9"/>
      <c r="AC434" s="9"/>
      <c r="AD434" s="9"/>
    </row>
    <row r="435" spans="1:30" ht="14.25" customHeight="1">
      <c r="A435" s="11"/>
      <c r="B435" s="12"/>
      <c r="C435" s="12"/>
      <c r="D435" s="12"/>
      <c r="E435" s="12"/>
      <c r="F435" s="12"/>
      <c r="G435" s="12"/>
      <c r="H435" s="12"/>
      <c r="I435" s="12"/>
      <c r="J435" s="12"/>
      <c r="K435" s="13"/>
      <c r="L435" s="9"/>
      <c r="M435" s="9"/>
      <c r="N435" s="9"/>
      <c r="O435" s="9"/>
      <c r="P435" s="9"/>
      <c r="Q435" s="9"/>
      <c r="R435" s="9"/>
      <c r="S435" s="9"/>
      <c r="T435" s="9"/>
      <c r="U435" s="9"/>
      <c r="V435" s="9"/>
      <c r="W435" s="9"/>
      <c r="X435" s="9"/>
      <c r="Y435" s="9"/>
      <c r="Z435" s="9"/>
      <c r="AA435" s="9"/>
      <c r="AB435" s="9"/>
      <c r="AC435" s="9"/>
      <c r="AD435" s="9"/>
    </row>
    <row r="436" spans="1:30" ht="14.25" customHeight="1">
      <c r="A436" s="11"/>
      <c r="B436" s="12"/>
      <c r="C436" s="12"/>
      <c r="D436" s="12"/>
      <c r="E436" s="12"/>
      <c r="F436" s="12"/>
      <c r="G436" s="12"/>
      <c r="H436" s="12"/>
      <c r="I436" s="12"/>
      <c r="J436" s="12"/>
      <c r="K436" s="13"/>
      <c r="L436" s="9"/>
      <c r="M436" s="9"/>
      <c r="N436" s="9"/>
      <c r="O436" s="9"/>
      <c r="P436" s="9"/>
      <c r="Q436" s="9"/>
      <c r="R436" s="9"/>
      <c r="S436" s="9"/>
      <c r="T436" s="9"/>
      <c r="U436" s="9"/>
      <c r="V436" s="9"/>
      <c r="W436" s="9"/>
      <c r="X436" s="9"/>
      <c r="Y436" s="9"/>
      <c r="Z436" s="9"/>
      <c r="AA436" s="9"/>
      <c r="AB436" s="9"/>
      <c r="AC436" s="9"/>
      <c r="AD436" s="9"/>
    </row>
    <row r="437" spans="1:30" ht="14.25" customHeight="1">
      <c r="A437" s="11"/>
      <c r="B437" s="12"/>
      <c r="C437" s="12"/>
      <c r="D437" s="12"/>
      <c r="E437" s="12"/>
      <c r="F437" s="12"/>
      <c r="G437" s="12"/>
      <c r="H437" s="12"/>
      <c r="I437" s="12"/>
      <c r="J437" s="12"/>
      <c r="K437" s="13"/>
      <c r="L437" s="9"/>
      <c r="M437" s="9"/>
      <c r="N437" s="9"/>
      <c r="O437" s="9"/>
      <c r="P437" s="9"/>
      <c r="Q437" s="9"/>
      <c r="R437" s="9"/>
      <c r="S437" s="9"/>
      <c r="T437" s="9"/>
      <c r="U437" s="9"/>
      <c r="V437" s="9"/>
      <c r="W437" s="9"/>
      <c r="X437" s="9"/>
      <c r="Y437" s="9"/>
      <c r="Z437" s="9"/>
      <c r="AA437" s="9"/>
      <c r="AB437" s="9"/>
      <c r="AC437" s="9"/>
      <c r="AD437" s="9"/>
    </row>
    <row r="438" spans="1:30" ht="14.25" customHeight="1">
      <c r="A438" s="11"/>
      <c r="B438" s="12"/>
      <c r="C438" s="12"/>
      <c r="D438" s="12"/>
      <c r="E438" s="12"/>
      <c r="F438" s="12"/>
      <c r="G438" s="12"/>
      <c r="H438" s="12"/>
      <c r="I438" s="12"/>
      <c r="J438" s="12"/>
      <c r="K438" s="13"/>
      <c r="L438" s="9"/>
      <c r="M438" s="9"/>
      <c r="N438" s="9"/>
      <c r="O438" s="9"/>
      <c r="P438" s="9"/>
      <c r="Q438" s="9"/>
      <c r="R438" s="9"/>
      <c r="S438" s="9"/>
      <c r="T438" s="9"/>
      <c r="U438" s="9"/>
      <c r="V438" s="9"/>
      <c r="W438" s="9"/>
      <c r="X438" s="9"/>
      <c r="Y438" s="9"/>
      <c r="Z438" s="9"/>
      <c r="AA438" s="9"/>
      <c r="AB438" s="9"/>
      <c r="AC438" s="9"/>
      <c r="AD438" s="9"/>
    </row>
    <row r="439" spans="1:30" ht="14.25" customHeight="1">
      <c r="A439" s="11"/>
      <c r="B439" s="12"/>
      <c r="C439" s="12"/>
      <c r="D439" s="12"/>
      <c r="E439" s="12"/>
      <c r="F439" s="12"/>
      <c r="G439" s="12"/>
      <c r="H439" s="12"/>
      <c r="I439" s="12"/>
      <c r="J439" s="12"/>
      <c r="K439" s="13"/>
      <c r="L439" s="9"/>
      <c r="M439" s="9"/>
      <c r="N439" s="9"/>
      <c r="O439" s="9"/>
      <c r="P439" s="9"/>
      <c r="Q439" s="9"/>
      <c r="R439" s="9"/>
      <c r="S439" s="9"/>
      <c r="T439" s="9"/>
      <c r="U439" s="9"/>
      <c r="V439" s="9"/>
      <c r="W439" s="9"/>
      <c r="X439" s="9"/>
      <c r="Y439" s="9"/>
      <c r="Z439" s="9"/>
      <c r="AA439" s="9"/>
      <c r="AB439" s="9"/>
      <c r="AC439" s="9"/>
      <c r="AD439" s="9"/>
    </row>
    <row r="440" spans="1:30" ht="14.25" customHeight="1">
      <c r="A440" s="11"/>
      <c r="B440" s="12"/>
      <c r="C440" s="12"/>
      <c r="D440" s="12"/>
      <c r="E440" s="12"/>
      <c r="F440" s="12"/>
      <c r="G440" s="12"/>
      <c r="H440" s="12"/>
      <c r="I440" s="12"/>
      <c r="J440" s="12"/>
      <c r="K440" s="13"/>
      <c r="L440" s="9"/>
      <c r="M440" s="9"/>
      <c r="N440" s="9"/>
      <c r="O440" s="9"/>
      <c r="P440" s="9"/>
      <c r="Q440" s="9"/>
      <c r="R440" s="9"/>
      <c r="S440" s="9"/>
      <c r="T440" s="9"/>
      <c r="U440" s="9"/>
      <c r="V440" s="9"/>
      <c r="W440" s="9"/>
      <c r="X440" s="9"/>
      <c r="Y440" s="9"/>
      <c r="Z440" s="9"/>
      <c r="AA440" s="9"/>
      <c r="AB440" s="9"/>
      <c r="AC440" s="9"/>
      <c r="AD440" s="9"/>
    </row>
    <row r="441" spans="1:30" ht="14.25" customHeight="1">
      <c r="A441" s="11"/>
      <c r="B441" s="12"/>
      <c r="C441" s="12"/>
      <c r="D441" s="12"/>
      <c r="E441" s="12"/>
      <c r="F441" s="12"/>
      <c r="G441" s="12"/>
      <c r="H441" s="12"/>
      <c r="I441" s="12"/>
      <c r="J441" s="12"/>
      <c r="K441" s="13"/>
      <c r="L441" s="9"/>
      <c r="M441" s="9"/>
      <c r="N441" s="9"/>
      <c r="O441" s="9"/>
      <c r="P441" s="9"/>
      <c r="Q441" s="9"/>
      <c r="R441" s="9"/>
      <c r="S441" s="9"/>
      <c r="T441" s="9"/>
      <c r="U441" s="9"/>
      <c r="V441" s="9"/>
      <c r="W441" s="9"/>
      <c r="X441" s="9"/>
      <c r="Y441" s="9"/>
      <c r="Z441" s="9"/>
      <c r="AA441" s="9"/>
      <c r="AB441" s="9"/>
      <c r="AC441" s="9"/>
      <c r="AD441" s="9"/>
    </row>
    <row r="442" spans="1:30" ht="14.25" customHeight="1">
      <c r="A442" s="11"/>
      <c r="B442" s="12"/>
      <c r="C442" s="12"/>
      <c r="D442" s="12"/>
      <c r="E442" s="12"/>
      <c r="F442" s="12"/>
      <c r="G442" s="12"/>
      <c r="H442" s="12"/>
      <c r="I442" s="12"/>
      <c r="J442" s="12"/>
      <c r="K442" s="13"/>
      <c r="L442" s="9"/>
      <c r="M442" s="9"/>
      <c r="N442" s="9"/>
      <c r="O442" s="9"/>
      <c r="P442" s="9"/>
      <c r="Q442" s="9"/>
      <c r="R442" s="9"/>
      <c r="S442" s="9"/>
      <c r="T442" s="9"/>
      <c r="U442" s="9"/>
      <c r="V442" s="9"/>
      <c r="W442" s="9"/>
      <c r="X442" s="9"/>
      <c r="Y442" s="9"/>
      <c r="Z442" s="9"/>
      <c r="AA442" s="9"/>
      <c r="AB442" s="9"/>
      <c r="AC442" s="9"/>
      <c r="AD442" s="9"/>
    </row>
    <row r="443" spans="1:30" ht="14.25" customHeight="1">
      <c r="A443" s="11"/>
      <c r="B443" s="12"/>
      <c r="C443" s="12"/>
      <c r="D443" s="12"/>
      <c r="E443" s="12"/>
      <c r="F443" s="12"/>
      <c r="G443" s="12"/>
      <c r="H443" s="12"/>
      <c r="I443" s="12"/>
      <c r="J443" s="12"/>
      <c r="K443" s="13"/>
      <c r="L443" s="9"/>
      <c r="M443" s="9"/>
      <c r="N443" s="9"/>
      <c r="O443" s="9"/>
      <c r="P443" s="9"/>
      <c r="Q443" s="9"/>
      <c r="R443" s="9"/>
      <c r="S443" s="9"/>
      <c r="T443" s="9"/>
      <c r="U443" s="9"/>
      <c r="V443" s="9"/>
      <c r="W443" s="9"/>
      <c r="X443" s="9"/>
      <c r="Y443" s="9"/>
      <c r="Z443" s="9"/>
      <c r="AA443" s="9"/>
      <c r="AB443" s="9"/>
      <c r="AC443" s="9"/>
      <c r="AD443" s="9"/>
    </row>
    <row r="444" spans="1:30" ht="14.25" customHeight="1">
      <c r="A444" s="11"/>
      <c r="B444" s="12"/>
      <c r="C444" s="12"/>
      <c r="D444" s="12"/>
      <c r="E444" s="12"/>
      <c r="F444" s="12"/>
      <c r="G444" s="12"/>
      <c r="H444" s="12"/>
      <c r="I444" s="12"/>
      <c r="J444" s="12"/>
      <c r="K444" s="13"/>
      <c r="L444" s="9"/>
      <c r="M444" s="9"/>
      <c r="N444" s="9"/>
      <c r="O444" s="9"/>
      <c r="P444" s="9"/>
      <c r="Q444" s="9"/>
      <c r="R444" s="9"/>
      <c r="S444" s="9"/>
      <c r="T444" s="9"/>
      <c r="U444" s="9"/>
      <c r="V444" s="9"/>
      <c r="W444" s="9"/>
      <c r="X444" s="9"/>
      <c r="Y444" s="9"/>
      <c r="Z444" s="9"/>
      <c r="AA444" s="9"/>
      <c r="AB444" s="9"/>
      <c r="AC444" s="9"/>
      <c r="AD444" s="9"/>
    </row>
    <row r="445" spans="1:30" ht="14.25" customHeight="1">
      <c r="A445" s="11"/>
      <c r="B445" s="12"/>
      <c r="C445" s="12"/>
      <c r="D445" s="12"/>
      <c r="E445" s="12"/>
      <c r="F445" s="12"/>
      <c r="G445" s="12"/>
      <c r="H445" s="12"/>
      <c r="I445" s="12"/>
      <c r="J445" s="12"/>
      <c r="K445" s="13"/>
      <c r="L445" s="9"/>
      <c r="M445" s="9"/>
      <c r="N445" s="9"/>
      <c r="O445" s="9"/>
      <c r="P445" s="9"/>
      <c r="Q445" s="9"/>
      <c r="R445" s="9"/>
      <c r="S445" s="9"/>
      <c r="T445" s="9"/>
      <c r="U445" s="9"/>
      <c r="V445" s="9"/>
      <c r="W445" s="9"/>
      <c r="X445" s="9"/>
      <c r="Y445" s="9"/>
      <c r="Z445" s="9"/>
      <c r="AA445" s="9"/>
      <c r="AB445" s="9"/>
      <c r="AC445" s="9"/>
      <c r="AD445" s="9"/>
    </row>
    <row r="446" spans="1:30" ht="14.25" customHeight="1">
      <c r="A446" s="11"/>
      <c r="B446" s="12"/>
      <c r="C446" s="12"/>
      <c r="D446" s="12"/>
      <c r="E446" s="12"/>
      <c r="F446" s="12"/>
      <c r="G446" s="12"/>
      <c r="H446" s="12"/>
      <c r="I446" s="12"/>
      <c r="J446" s="12"/>
      <c r="K446" s="13"/>
      <c r="L446" s="9"/>
      <c r="M446" s="9"/>
      <c r="N446" s="9"/>
      <c r="O446" s="9"/>
      <c r="P446" s="9"/>
      <c r="Q446" s="9"/>
      <c r="R446" s="9"/>
      <c r="S446" s="9"/>
      <c r="T446" s="9"/>
      <c r="U446" s="9"/>
      <c r="V446" s="9"/>
      <c r="W446" s="9"/>
      <c r="X446" s="9"/>
      <c r="Y446" s="9"/>
      <c r="Z446" s="9"/>
      <c r="AA446" s="9"/>
      <c r="AB446" s="9"/>
      <c r="AC446" s="9"/>
      <c r="AD446" s="9"/>
    </row>
    <row r="447" spans="1:30" ht="14.25" customHeight="1">
      <c r="A447" s="11"/>
      <c r="B447" s="12"/>
      <c r="C447" s="12"/>
      <c r="D447" s="12"/>
      <c r="E447" s="12"/>
      <c r="F447" s="12"/>
      <c r="G447" s="12"/>
      <c r="H447" s="12"/>
      <c r="I447" s="12"/>
      <c r="J447" s="12"/>
      <c r="K447" s="13"/>
      <c r="L447" s="9"/>
      <c r="M447" s="9"/>
      <c r="N447" s="9"/>
      <c r="O447" s="9"/>
      <c r="P447" s="9"/>
      <c r="Q447" s="9"/>
      <c r="R447" s="9"/>
      <c r="S447" s="9"/>
      <c r="T447" s="9"/>
      <c r="U447" s="9"/>
      <c r="V447" s="9"/>
      <c r="W447" s="9"/>
      <c r="X447" s="9"/>
      <c r="Y447" s="9"/>
      <c r="Z447" s="9"/>
      <c r="AA447" s="9"/>
      <c r="AB447" s="9"/>
      <c r="AC447" s="9"/>
      <c r="AD447" s="9"/>
    </row>
    <row r="448" spans="1:30" ht="14.25" customHeight="1">
      <c r="A448" s="11"/>
      <c r="B448" s="12"/>
      <c r="C448" s="12"/>
      <c r="D448" s="12"/>
      <c r="E448" s="12"/>
      <c r="F448" s="12"/>
      <c r="G448" s="12"/>
      <c r="H448" s="12"/>
      <c r="I448" s="12"/>
      <c r="J448" s="12"/>
      <c r="K448" s="13"/>
      <c r="L448" s="9"/>
      <c r="M448" s="9"/>
      <c r="N448" s="9"/>
      <c r="O448" s="9"/>
      <c r="P448" s="9"/>
      <c r="Q448" s="9"/>
      <c r="R448" s="9"/>
      <c r="S448" s="9"/>
      <c r="T448" s="9"/>
      <c r="U448" s="9"/>
      <c r="V448" s="9"/>
      <c r="W448" s="9"/>
      <c r="X448" s="9"/>
      <c r="Y448" s="9"/>
      <c r="Z448" s="9"/>
      <c r="AA448" s="9"/>
      <c r="AB448" s="9"/>
      <c r="AC448" s="9"/>
      <c r="AD448" s="9"/>
    </row>
    <row r="449" spans="1:30" ht="14.25" customHeight="1">
      <c r="A449" s="11"/>
      <c r="B449" s="12"/>
      <c r="C449" s="12"/>
      <c r="D449" s="12"/>
      <c r="E449" s="12"/>
      <c r="F449" s="12"/>
      <c r="G449" s="12"/>
      <c r="H449" s="12"/>
      <c r="I449" s="12"/>
      <c r="J449" s="12"/>
      <c r="K449" s="13"/>
      <c r="L449" s="9"/>
      <c r="M449" s="9"/>
      <c r="N449" s="9"/>
      <c r="O449" s="9"/>
      <c r="P449" s="9"/>
      <c r="Q449" s="9"/>
      <c r="R449" s="9"/>
      <c r="S449" s="9"/>
      <c r="T449" s="9"/>
      <c r="U449" s="9"/>
      <c r="V449" s="9"/>
      <c r="W449" s="9"/>
      <c r="X449" s="9"/>
      <c r="Y449" s="9"/>
      <c r="Z449" s="9"/>
      <c r="AA449" s="9"/>
      <c r="AB449" s="9"/>
      <c r="AC449" s="9"/>
      <c r="AD449" s="9"/>
    </row>
    <row r="450" spans="1:30" ht="14.25" customHeight="1">
      <c r="A450" s="11"/>
      <c r="B450" s="12"/>
      <c r="C450" s="12"/>
      <c r="D450" s="12"/>
      <c r="E450" s="12"/>
      <c r="F450" s="12"/>
      <c r="G450" s="12"/>
      <c r="H450" s="12"/>
      <c r="I450" s="12"/>
      <c r="J450" s="12"/>
      <c r="K450" s="13"/>
      <c r="L450" s="9"/>
      <c r="M450" s="9"/>
      <c r="N450" s="9"/>
      <c r="O450" s="9"/>
      <c r="P450" s="9"/>
      <c r="Q450" s="9"/>
      <c r="R450" s="9"/>
      <c r="S450" s="9"/>
      <c r="T450" s="9"/>
      <c r="U450" s="9"/>
      <c r="V450" s="9"/>
      <c r="W450" s="9"/>
      <c r="X450" s="9"/>
      <c r="Y450" s="9"/>
      <c r="Z450" s="9"/>
      <c r="AA450" s="9"/>
      <c r="AB450" s="9"/>
      <c r="AC450" s="9"/>
      <c r="AD450" s="9"/>
    </row>
    <row r="451" spans="1:30" ht="14.25" customHeight="1">
      <c r="A451" s="11"/>
      <c r="B451" s="12"/>
      <c r="C451" s="12"/>
      <c r="D451" s="12"/>
      <c r="E451" s="12"/>
      <c r="F451" s="12"/>
      <c r="G451" s="12"/>
      <c r="H451" s="12"/>
      <c r="I451" s="12"/>
      <c r="J451" s="12"/>
      <c r="K451" s="13"/>
      <c r="L451" s="9"/>
      <c r="M451" s="9"/>
      <c r="N451" s="9"/>
      <c r="O451" s="9"/>
      <c r="P451" s="9"/>
      <c r="Q451" s="9"/>
      <c r="R451" s="9"/>
      <c r="S451" s="9"/>
      <c r="T451" s="9"/>
      <c r="U451" s="9"/>
      <c r="V451" s="9"/>
      <c r="W451" s="9"/>
      <c r="X451" s="9"/>
      <c r="Y451" s="9"/>
      <c r="Z451" s="9"/>
      <c r="AA451" s="9"/>
      <c r="AB451" s="9"/>
      <c r="AC451" s="9"/>
      <c r="AD451" s="9"/>
    </row>
    <row r="452" spans="1:30" ht="14.25" customHeight="1">
      <c r="A452" s="11"/>
      <c r="B452" s="12"/>
      <c r="C452" s="12"/>
      <c r="D452" s="12"/>
      <c r="E452" s="12"/>
      <c r="F452" s="12"/>
      <c r="G452" s="12"/>
      <c r="H452" s="12"/>
      <c r="I452" s="12"/>
      <c r="J452" s="12"/>
      <c r="K452" s="13"/>
      <c r="L452" s="9"/>
      <c r="M452" s="9"/>
      <c r="N452" s="9"/>
      <c r="O452" s="9"/>
      <c r="P452" s="9"/>
      <c r="Q452" s="9"/>
      <c r="R452" s="9"/>
      <c r="S452" s="9"/>
      <c r="T452" s="9"/>
      <c r="U452" s="9"/>
      <c r="V452" s="9"/>
      <c r="W452" s="9"/>
      <c r="X452" s="9"/>
      <c r="Y452" s="9"/>
      <c r="Z452" s="9"/>
      <c r="AA452" s="9"/>
      <c r="AB452" s="9"/>
      <c r="AC452" s="9"/>
      <c r="AD452" s="9"/>
    </row>
    <row r="453" spans="1:30" ht="14.25" customHeight="1">
      <c r="A453" s="11"/>
      <c r="B453" s="12"/>
      <c r="C453" s="12"/>
      <c r="D453" s="12"/>
      <c r="E453" s="12"/>
      <c r="F453" s="12"/>
      <c r="G453" s="12"/>
      <c r="H453" s="12"/>
      <c r="I453" s="12"/>
      <c r="J453" s="12"/>
      <c r="K453" s="13"/>
      <c r="L453" s="9"/>
      <c r="M453" s="9"/>
      <c r="N453" s="9"/>
      <c r="O453" s="9"/>
      <c r="P453" s="9"/>
      <c r="Q453" s="9"/>
      <c r="R453" s="9"/>
      <c r="S453" s="9"/>
      <c r="T453" s="9"/>
      <c r="U453" s="9"/>
      <c r="V453" s="9"/>
      <c r="W453" s="9"/>
      <c r="X453" s="9"/>
      <c r="Y453" s="9"/>
      <c r="Z453" s="9"/>
      <c r="AA453" s="9"/>
      <c r="AB453" s="9"/>
      <c r="AC453" s="9"/>
      <c r="AD453" s="9"/>
    </row>
    <row r="454" spans="1:30" ht="14.25" customHeight="1">
      <c r="A454" s="11"/>
      <c r="B454" s="12"/>
      <c r="C454" s="12"/>
      <c r="D454" s="12"/>
      <c r="E454" s="12"/>
      <c r="F454" s="12"/>
      <c r="G454" s="12"/>
      <c r="H454" s="12"/>
      <c r="I454" s="12"/>
      <c r="J454" s="12"/>
      <c r="K454" s="13"/>
      <c r="L454" s="9"/>
      <c r="M454" s="9"/>
      <c r="N454" s="9"/>
      <c r="O454" s="9"/>
      <c r="P454" s="9"/>
      <c r="Q454" s="9"/>
      <c r="R454" s="9"/>
      <c r="S454" s="9"/>
      <c r="T454" s="9"/>
      <c r="U454" s="9"/>
      <c r="V454" s="9"/>
      <c r="W454" s="9"/>
      <c r="X454" s="9"/>
      <c r="Y454" s="9"/>
      <c r="Z454" s="9"/>
      <c r="AA454" s="9"/>
      <c r="AB454" s="9"/>
      <c r="AC454" s="9"/>
      <c r="AD454" s="9"/>
    </row>
    <row r="455" spans="1:30" ht="14.25" customHeight="1">
      <c r="A455" s="11"/>
      <c r="B455" s="12"/>
      <c r="C455" s="12"/>
      <c r="D455" s="12"/>
      <c r="E455" s="12"/>
      <c r="F455" s="12"/>
      <c r="G455" s="12"/>
      <c r="H455" s="12"/>
      <c r="I455" s="12"/>
      <c r="J455" s="12"/>
      <c r="K455" s="13"/>
      <c r="L455" s="9"/>
      <c r="M455" s="9"/>
      <c r="N455" s="9"/>
      <c r="O455" s="9"/>
      <c r="P455" s="9"/>
      <c r="Q455" s="9"/>
      <c r="R455" s="9"/>
      <c r="S455" s="9"/>
      <c r="T455" s="9"/>
      <c r="U455" s="9"/>
      <c r="V455" s="9"/>
      <c r="W455" s="9"/>
      <c r="X455" s="9"/>
      <c r="Y455" s="9"/>
      <c r="Z455" s="9"/>
      <c r="AA455" s="9"/>
      <c r="AB455" s="9"/>
      <c r="AC455" s="9"/>
      <c r="AD455" s="9"/>
    </row>
    <row r="456" spans="1:30" ht="14.25" customHeight="1">
      <c r="A456" s="11"/>
      <c r="B456" s="12"/>
      <c r="C456" s="12"/>
      <c r="D456" s="12"/>
      <c r="E456" s="12"/>
      <c r="F456" s="12"/>
      <c r="G456" s="12"/>
      <c r="H456" s="12"/>
      <c r="I456" s="12"/>
      <c r="J456" s="12"/>
      <c r="K456" s="13"/>
      <c r="L456" s="9"/>
      <c r="M456" s="9"/>
      <c r="N456" s="9"/>
      <c r="O456" s="9"/>
      <c r="P456" s="9"/>
      <c r="Q456" s="9"/>
      <c r="R456" s="9"/>
      <c r="S456" s="9"/>
      <c r="T456" s="9"/>
      <c r="U456" s="9"/>
      <c r="V456" s="9"/>
      <c r="W456" s="9"/>
      <c r="X456" s="9"/>
      <c r="Y456" s="9"/>
      <c r="Z456" s="9"/>
      <c r="AA456" s="9"/>
      <c r="AB456" s="9"/>
      <c r="AC456" s="9"/>
      <c r="AD456" s="9"/>
    </row>
    <row r="457" spans="1:30" ht="14.25" customHeight="1">
      <c r="A457" s="11"/>
      <c r="B457" s="12"/>
      <c r="C457" s="12"/>
      <c r="D457" s="12"/>
      <c r="E457" s="12"/>
      <c r="F457" s="12"/>
      <c r="G457" s="12"/>
      <c r="H457" s="12"/>
      <c r="I457" s="12"/>
      <c r="J457" s="12"/>
      <c r="K457" s="13"/>
      <c r="L457" s="9"/>
      <c r="M457" s="9"/>
      <c r="N457" s="9"/>
      <c r="O457" s="9"/>
      <c r="P457" s="9"/>
      <c r="Q457" s="9"/>
      <c r="R457" s="9"/>
      <c r="S457" s="9"/>
      <c r="T457" s="9"/>
      <c r="U457" s="9"/>
      <c r="V457" s="9"/>
      <c r="W457" s="9"/>
      <c r="X457" s="9"/>
      <c r="Y457" s="9"/>
      <c r="Z457" s="9"/>
      <c r="AA457" s="9"/>
      <c r="AB457" s="9"/>
      <c r="AC457" s="9"/>
      <c r="AD457" s="9"/>
    </row>
    <row r="458" spans="1:30" ht="14.25" customHeight="1">
      <c r="A458" s="11"/>
      <c r="B458" s="12"/>
      <c r="C458" s="12"/>
      <c r="D458" s="12"/>
      <c r="E458" s="12"/>
      <c r="F458" s="12"/>
      <c r="G458" s="12"/>
      <c r="H458" s="12"/>
      <c r="I458" s="12"/>
      <c r="J458" s="12"/>
      <c r="K458" s="13"/>
      <c r="L458" s="9"/>
      <c r="M458" s="9"/>
      <c r="N458" s="9"/>
      <c r="O458" s="9"/>
      <c r="P458" s="9"/>
      <c r="Q458" s="9"/>
      <c r="R458" s="9"/>
      <c r="S458" s="9"/>
      <c r="T458" s="9"/>
      <c r="U458" s="9"/>
      <c r="V458" s="9"/>
      <c r="W458" s="9"/>
      <c r="X458" s="9"/>
      <c r="Y458" s="9"/>
      <c r="Z458" s="9"/>
      <c r="AA458" s="9"/>
      <c r="AB458" s="9"/>
      <c r="AC458" s="9"/>
      <c r="AD458" s="9"/>
    </row>
    <row r="459" spans="1:30" ht="14.25" customHeight="1">
      <c r="A459" s="11"/>
      <c r="B459" s="12"/>
      <c r="C459" s="12"/>
      <c r="D459" s="12"/>
      <c r="E459" s="12"/>
      <c r="F459" s="12"/>
      <c r="G459" s="12"/>
      <c r="H459" s="12"/>
      <c r="I459" s="12"/>
      <c r="J459" s="12"/>
      <c r="K459" s="13"/>
      <c r="L459" s="9"/>
      <c r="M459" s="9"/>
      <c r="N459" s="9"/>
      <c r="O459" s="9"/>
      <c r="P459" s="9"/>
      <c r="Q459" s="9"/>
      <c r="R459" s="9"/>
      <c r="S459" s="9"/>
      <c r="T459" s="9"/>
      <c r="U459" s="9"/>
      <c r="V459" s="9"/>
      <c r="W459" s="9"/>
      <c r="X459" s="9"/>
      <c r="Y459" s="9"/>
      <c r="Z459" s="9"/>
      <c r="AA459" s="9"/>
      <c r="AB459" s="9"/>
      <c r="AC459" s="9"/>
      <c r="AD459" s="9"/>
    </row>
    <row r="460" spans="1:30" ht="14.25" customHeight="1">
      <c r="A460" s="11"/>
      <c r="B460" s="12"/>
      <c r="C460" s="12"/>
      <c r="D460" s="12"/>
      <c r="E460" s="12"/>
      <c r="F460" s="12"/>
      <c r="G460" s="12"/>
      <c r="H460" s="12"/>
      <c r="I460" s="12"/>
      <c r="J460" s="12"/>
      <c r="K460" s="13"/>
      <c r="L460" s="9"/>
      <c r="M460" s="9"/>
      <c r="N460" s="9"/>
      <c r="O460" s="9"/>
      <c r="P460" s="9"/>
      <c r="Q460" s="9"/>
      <c r="R460" s="9"/>
      <c r="S460" s="9"/>
      <c r="T460" s="9"/>
      <c r="U460" s="9"/>
      <c r="V460" s="9"/>
      <c r="W460" s="9"/>
      <c r="X460" s="9"/>
      <c r="Y460" s="9"/>
      <c r="Z460" s="9"/>
      <c r="AA460" s="9"/>
      <c r="AB460" s="9"/>
      <c r="AC460" s="9"/>
      <c r="AD460" s="9"/>
    </row>
    <row r="461" spans="1:30" ht="14.25" customHeight="1">
      <c r="A461" s="11"/>
      <c r="B461" s="12"/>
      <c r="C461" s="12"/>
      <c r="D461" s="12"/>
      <c r="E461" s="12"/>
      <c r="F461" s="12"/>
      <c r="G461" s="12"/>
      <c r="H461" s="12"/>
      <c r="I461" s="12"/>
      <c r="J461" s="12"/>
      <c r="K461" s="13"/>
      <c r="L461" s="9"/>
      <c r="M461" s="9"/>
      <c r="N461" s="9"/>
      <c r="O461" s="9"/>
      <c r="P461" s="9"/>
      <c r="Q461" s="9"/>
      <c r="R461" s="9"/>
      <c r="S461" s="9"/>
      <c r="T461" s="9"/>
      <c r="U461" s="9"/>
      <c r="V461" s="9"/>
      <c r="W461" s="9"/>
      <c r="X461" s="9"/>
      <c r="Y461" s="9"/>
      <c r="Z461" s="9"/>
      <c r="AA461" s="9"/>
      <c r="AB461" s="9"/>
      <c r="AC461" s="9"/>
      <c r="AD461" s="9"/>
    </row>
    <row r="462" spans="1:30" ht="14.25" customHeight="1">
      <c r="A462" s="11"/>
      <c r="B462" s="12"/>
      <c r="C462" s="12"/>
      <c r="D462" s="12"/>
      <c r="E462" s="12"/>
      <c r="F462" s="12"/>
      <c r="G462" s="12"/>
      <c r="H462" s="12"/>
      <c r="I462" s="12"/>
      <c r="J462" s="12"/>
      <c r="K462" s="13"/>
      <c r="L462" s="9"/>
      <c r="M462" s="9"/>
      <c r="N462" s="9"/>
      <c r="O462" s="9"/>
      <c r="P462" s="9"/>
      <c r="Q462" s="9"/>
      <c r="R462" s="9"/>
      <c r="S462" s="9"/>
      <c r="T462" s="9"/>
      <c r="U462" s="9"/>
      <c r="V462" s="9"/>
      <c r="W462" s="9"/>
      <c r="X462" s="9"/>
      <c r="Y462" s="9"/>
      <c r="Z462" s="9"/>
      <c r="AA462" s="9"/>
      <c r="AB462" s="9"/>
      <c r="AC462" s="9"/>
      <c r="AD462" s="9"/>
    </row>
    <row r="463" spans="1:30" ht="14.25" customHeight="1">
      <c r="A463" s="11"/>
      <c r="B463" s="12"/>
      <c r="C463" s="12"/>
      <c r="D463" s="12"/>
      <c r="E463" s="12"/>
      <c r="F463" s="12"/>
      <c r="G463" s="12"/>
      <c r="H463" s="12"/>
      <c r="I463" s="12"/>
      <c r="J463" s="12"/>
      <c r="K463" s="13"/>
      <c r="L463" s="9"/>
      <c r="M463" s="9"/>
      <c r="N463" s="9"/>
      <c r="O463" s="9"/>
      <c r="P463" s="9"/>
      <c r="Q463" s="9"/>
      <c r="R463" s="9"/>
      <c r="S463" s="9"/>
      <c r="T463" s="9"/>
      <c r="U463" s="9"/>
      <c r="V463" s="9"/>
      <c r="W463" s="9"/>
      <c r="X463" s="9"/>
      <c r="Y463" s="9"/>
      <c r="Z463" s="9"/>
      <c r="AA463" s="9"/>
      <c r="AB463" s="9"/>
      <c r="AC463" s="9"/>
      <c r="AD463" s="9"/>
    </row>
    <row r="464" spans="1:30" ht="14.25" customHeight="1">
      <c r="A464" s="11"/>
      <c r="B464" s="12"/>
      <c r="C464" s="12"/>
      <c r="D464" s="12"/>
      <c r="E464" s="12"/>
      <c r="F464" s="12"/>
      <c r="G464" s="12"/>
      <c r="H464" s="12"/>
      <c r="I464" s="12"/>
      <c r="J464" s="12"/>
      <c r="K464" s="13"/>
      <c r="L464" s="9"/>
      <c r="M464" s="9"/>
      <c r="N464" s="9"/>
      <c r="O464" s="9"/>
      <c r="P464" s="9"/>
      <c r="Q464" s="9"/>
      <c r="R464" s="9"/>
      <c r="S464" s="9"/>
      <c r="T464" s="9"/>
      <c r="U464" s="9"/>
      <c r="V464" s="9"/>
      <c r="W464" s="9"/>
      <c r="X464" s="9"/>
      <c r="Y464" s="9"/>
      <c r="Z464" s="9"/>
      <c r="AA464" s="9"/>
      <c r="AB464" s="9"/>
      <c r="AC464" s="9"/>
      <c r="AD464" s="9"/>
    </row>
    <row r="465" spans="1:30" ht="14.25" customHeight="1">
      <c r="A465" s="11"/>
      <c r="B465" s="12"/>
      <c r="C465" s="12"/>
      <c r="D465" s="12"/>
      <c r="E465" s="12"/>
      <c r="F465" s="12"/>
      <c r="G465" s="12"/>
      <c r="H465" s="12"/>
      <c r="I465" s="12"/>
      <c r="J465" s="12"/>
      <c r="K465" s="13"/>
      <c r="L465" s="9"/>
      <c r="M465" s="9"/>
      <c r="N465" s="9"/>
      <c r="O465" s="9"/>
      <c r="P465" s="9"/>
      <c r="Q465" s="9"/>
      <c r="R465" s="9"/>
      <c r="S465" s="9"/>
      <c r="T465" s="9"/>
      <c r="U465" s="9"/>
      <c r="V465" s="9"/>
      <c r="W465" s="9"/>
      <c r="X465" s="9"/>
      <c r="Y465" s="9"/>
      <c r="Z465" s="9"/>
      <c r="AA465" s="9"/>
      <c r="AB465" s="9"/>
      <c r="AC465" s="9"/>
      <c r="AD465" s="9"/>
    </row>
    <row r="466" spans="1:30" ht="14.25" customHeight="1">
      <c r="A466" s="11"/>
      <c r="B466" s="12"/>
      <c r="C466" s="12"/>
      <c r="D466" s="12"/>
      <c r="E466" s="12"/>
      <c r="F466" s="12"/>
      <c r="G466" s="12"/>
      <c r="H466" s="12"/>
      <c r="I466" s="12"/>
      <c r="J466" s="12"/>
      <c r="K466" s="13"/>
      <c r="L466" s="9"/>
      <c r="M466" s="9"/>
      <c r="N466" s="9"/>
      <c r="O466" s="9"/>
      <c r="P466" s="9"/>
      <c r="Q466" s="9"/>
      <c r="R466" s="9"/>
      <c r="S466" s="9"/>
      <c r="T466" s="9"/>
      <c r="U466" s="9"/>
      <c r="V466" s="9"/>
      <c r="W466" s="9"/>
      <c r="X466" s="9"/>
      <c r="Y466" s="9"/>
      <c r="Z466" s="9"/>
      <c r="AA466" s="9"/>
      <c r="AB466" s="9"/>
      <c r="AC466" s="9"/>
      <c r="AD466" s="9"/>
    </row>
    <row r="467" spans="1:30" ht="14.25" customHeight="1">
      <c r="A467" s="11"/>
      <c r="B467" s="12"/>
      <c r="C467" s="12"/>
      <c r="D467" s="12"/>
      <c r="E467" s="12"/>
      <c r="F467" s="12"/>
      <c r="G467" s="12"/>
      <c r="H467" s="12"/>
      <c r="I467" s="12"/>
      <c r="J467" s="12"/>
      <c r="K467" s="13"/>
      <c r="L467" s="9"/>
      <c r="M467" s="9"/>
      <c r="N467" s="9"/>
      <c r="O467" s="9"/>
      <c r="P467" s="9"/>
      <c r="Q467" s="9"/>
      <c r="R467" s="9"/>
      <c r="S467" s="9"/>
      <c r="T467" s="9"/>
      <c r="U467" s="9"/>
      <c r="V467" s="9"/>
      <c r="W467" s="9"/>
      <c r="X467" s="9"/>
      <c r="Y467" s="9"/>
      <c r="Z467" s="9"/>
      <c r="AA467" s="9"/>
      <c r="AB467" s="9"/>
      <c r="AC467" s="9"/>
      <c r="AD467" s="9"/>
    </row>
    <row r="468" spans="1:30" ht="14.25" customHeight="1">
      <c r="A468" s="11"/>
      <c r="B468" s="12"/>
      <c r="C468" s="12"/>
      <c r="D468" s="12"/>
      <c r="E468" s="12"/>
      <c r="F468" s="12"/>
      <c r="G468" s="12"/>
      <c r="H468" s="12"/>
      <c r="I468" s="12"/>
      <c r="J468" s="12"/>
      <c r="K468" s="13"/>
      <c r="L468" s="9"/>
      <c r="M468" s="9"/>
      <c r="N468" s="9"/>
      <c r="O468" s="9"/>
      <c r="P468" s="9"/>
      <c r="Q468" s="9"/>
      <c r="R468" s="9"/>
      <c r="S468" s="9"/>
      <c r="T468" s="9"/>
      <c r="U468" s="9"/>
      <c r="V468" s="9"/>
      <c r="W468" s="9"/>
      <c r="X468" s="9"/>
      <c r="Y468" s="9"/>
      <c r="Z468" s="9"/>
      <c r="AA468" s="9"/>
      <c r="AB468" s="9"/>
      <c r="AC468" s="9"/>
      <c r="AD468" s="9"/>
    </row>
    <row r="469" spans="1:30" ht="14.25" customHeight="1">
      <c r="A469" s="11"/>
      <c r="B469" s="12"/>
      <c r="C469" s="12"/>
      <c r="D469" s="12"/>
      <c r="E469" s="12"/>
      <c r="F469" s="12"/>
      <c r="G469" s="12"/>
      <c r="H469" s="12"/>
      <c r="I469" s="12"/>
      <c r="J469" s="12"/>
      <c r="K469" s="13"/>
      <c r="L469" s="9"/>
      <c r="M469" s="9"/>
      <c r="N469" s="9"/>
      <c r="O469" s="9"/>
      <c r="P469" s="9"/>
      <c r="Q469" s="9"/>
      <c r="R469" s="9"/>
      <c r="S469" s="9"/>
      <c r="T469" s="9"/>
      <c r="U469" s="9"/>
      <c r="V469" s="9"/>
      <c r="W469" s="9"/>
      <c r="X469" s="9"/>
      <c r="Y469" s="9"/>
      <c r="Z469" s="9"/>
      <c r="AA469" s="9"/>
      <c r="AB469" s="9"/>
      <c r="AC469" s="9"/>
      <c r="AD469" s="9"/>
    </row>
    <row r="470" spans="1:30" ht="14.25" customHeight="1">
      <c r="A470" s="11"/>
      <c r="B470" s="12"/>
      <c r="C470" s="12"/>
      <c r="D470" s="12"/>
      <c r="E470" s="12"/>
      <c r="F470" s="12"/>
      <c r="G470" s="12"/>
      <c r="H470" s="12"/>
      <c r="I470" s="12"/>
      <c r="J470" s="12"/>
      <c r="K470" s="13"/>
      <c r="L470" s="9"/>
      <c r="M470" s="9"/>
      <c r="N470" s="9"/>
      <c r="O470" s="9"/>
      <c r="P470" s="9"/>
      <c r="Q470" s="9"/>
      <c r="R470" s="9"/>
      <c r="S470" s="9"/>
      <c r="T470" s="9"/>
      <c r="U470" s="9"/>
      <c r="V470" s="9"/>
      <c r="W470" s="9"/>
      <c r="X470" s="9"/>
      <c r="Y470" s="9"/>
      <c r="Z470" s="9"/>
      <c r="AA470" s="9"/>
      <c r="AB470" s="9"/>
      <c r="AC470" s="9"/>
      <c r="AD470" s="9"/>
    </row>
    <row r="471" spans="1:30" ht="14.25" customHeight="1">
      <c r="A471" s="11"/>
      <c r="B471" s="12"/>
      <c r="C471" s="12"/>
      <c r="D471" s="12"/>
      <c r="E471" s="12"/>
      <c r="F471" s="12"/>
      <c r="G471" s="12"/>
      <c r="H471" s="12"/>
      <c r="I471" s="12"/>
      <c r="J471" s="12"/>
      <c r="K471" s="13"/>
      <c r="L471" s="9"/>
      <c r="M471" s="9"/>
      <c r="N471" s="9"/>
      <c r="O471" s="9"/>
      <c r="P471" s="9"/>
      <c r="Q471" s="9"/>
      <c r="R471" s="9"/>
      <c r="S471" s="9"/>
      <c r="T471" s="9"/>
      <c r="U471" s="9"/>
      <c r="V471" s="9"/>
      <c r="W471" s="9"/>
      <c r="X471" s="9"/>
      <c r="Y471" s="9"/>
      <c r="Z471" s="9"/>
      <c r="AA471" s="9"/>
      <c r="AB471" s="9"/>
      <c r="AC471" s="9"/>
      <c r="AD471" s="9"/>
    </row>
    <row r="472" spans="1:30" ht="14.25" customHeight="1">
      <c r="A472" s="11"/>
      <c r="B472" s="12"/>
      <c r="C472" s="12"/>
      <c r="D472" s="12"/>
      <c r="E472" s="12"/>
      <c r="F472" s="12"/>
      <c r="G472" s="12"/>
      <c r="H472" s="12"/>
      <c r="I472" s="12"/>
      <c r="J472" s="12"/>
      <c r="K472" s="13"/>
      <c r="L472" s="9"/>
      <c r="M472" s="9"/>
      <c r="N472" s="9"/>
      <c r="O472" s="9"/>
      <c r="P472" s="9"/>
      <c r="Q472" s="9"/>
      <c r="R472" s="9"/>
      <c r="S472" s="9"/>
      <c r="T472" s="9"/>
      <c r="U472" s="9"/>
      <c r="V472" s="9"/>
      <c r="W472" s="9"/>
      <c r="X472" s="9"/>
      <c r="Y472" s="9"/>
      <c r="Z472" s="9"/>
      <c r="AA472" s="9"/>
      <c r="AB472" s="9"/>
      <c r="AC472" s="9"/>
      <c r="AD472" s="9"/>
    </row>
    <row r="473" spans="1:30" ht="14.25" customHeight="1">
      <c r="A473" s="11"/>
      <c r="B473" s="12"/>
      <c r="C473" s="12"/>
      <c r="D473" s="12"/>
      <c r="E473" s="12"/>
      <c r="F473" s="12"/>
      <c r="G473" s="12"/>
      <c r="H473" s="12"/>
      <c r="I473" s="12"/>
      <c r="J473" s="12"/>
      <c r="K473" s="13"/>
      <c r="L473" s="9"/>
      <c r="M473" s="9"/>
      <c r="N473" s="9"/>
      <c r="O473" s="9"/>
      <c r="P473" s="9"/>
      <c r="Q473" s="9"/>
      <c r="R473" s="9"/>
      <c r="S473" s="9"/>
      <c r="T473" s="9"/>
      <c r="U473" s="9"/>
      <c r="V473" s="9"/>
      <c r="W473" s="9"/>
      <c r="X473" s="9"/>
      <c r="Y473" s="9"/>
      <c r="Z473" s="9"/>
      <c r="AA473" s="9"/>
      <c r="AB473" s="9"/>
      <c r="AC473" s="9"/>
      <c r="AD473" s="9"/>
    </row>
    <row r="474" spans="1:30" ht="14.25" customHeight="1">
      <c r="A474" s="11"/>
      <c r="B474" s="12"/>
      <c r="C474" s="12"/>
      <c r="D474" s="12"/>
      <c r="E474" s="12"/>
      <c r="F474" s="12"/>
      <c r="G474" s="12"/>
      <c r="H474" s="12"/>
      <c r="I474" s="12"/>
      <c r="J474" s="12"/>
      <c r="K474" s="13"/>
      <c r="L474" s="9"/>
      <c r="M474" s="9"/>
      <c r="N474" s="9"/>
      <c r="O474" s="9"/>
      <c r="P474" s="9"/>
      <c r="Q474" s="9"/>
      <c r="R474" s="9"/>
      <c r="S474" s="9"/>
      <c r="T474" s="9"/>
      <c r="U474" s="9"/>
      <c r="V474" s="9"/>
      <c r="W474" s="9"/>
      <c r="X474" s="9"/>
      <c r="Y474" s="9"/>
      <c r="Z474" s="9"/>
      <c r="AA474" s="9"/>
      <c r="AB474" s="9"/>
      <c r="AC474" s="9"/>
      <c r="AD474" s="9"/>
    </row>
    <row r="475" spans="1:30" ht="14.25" customHeight="1">
      <c r="A475" s="11"/>
      <c r="B475" s="12"/>
      <c r="C475" s="12"/>
      <c r="D475" s="12"/>
      <c r="E475" s="12"/>
      <c r="F475" s="12"/>
      <c r="G475" s="12"/>
      <c r="H475" s="12"/>
      <c r="I475" s="12"/>
      <c r="J475" s="12"/>
      <c r="K475" s="13"/>
      <c r="L475" s="9"/>
      <c r="M475" s="9"/>
      <c r="N475" s="9"/>
      <c r="O475" s="9"/>
      <c r="P475" s="9"/>
      <c r="Q475" s="9"/>
      <c r="R475" s="9"/>
      <c r="S475" s="9"/>
      <c r="T475" s="9"/>
      <c r="U475" s="9"/>
      <c r="V475" s="9"/>
      <c r="W475" s="9"/>
      <c r="X475" s="9"/>
      <c r="Y475" s="9"/>
      <c r="Z475" s="9"/>
      <c r="AA475" s="9"/>
      <c r="AB475" s="9"/>
      <c r="AC475" s="9"/>
      <c r="AD475" s="9"/>
    </row>
    <row r="476" spans="1:30" ht="14.25" customHeight="1">
      <c r="A476" s="11"/>
      <c r="B476" s="12"/>
      <c r="C476" s="12"/>
      <c r="D476" s="12"/>
      <c r="E476" s="12"/>
      <c r="F476" s="12"/>
      <c r="G476" s="12"/>
      <c r="H476" s="12"/>
      <c r="I476" s="12"/>
      <c r="J476" s="12"/>
      <c r="K476" s="13"/>
      <c r="L476" s="9"/>
      <c r="M476" s="9"/>
      <c r="N476" s="9"/>
      <c r="O476" s="9"/>
      <c r="P476" s="9"/>
      <c r="Q476" s="9"/>
      <c r="R476" s="9"/>
      <c r="S476" s="9"/>
      <c r="T476" s="9"/>
      <c r="U476" s="9"/>
      <c r="V476" s="9"/>
      <c r="W476" s="9"/>
      <c r="X476" s="9"/>
      <c r="Y476" s="9"/>
      <c r="Z476" s="9"/>
      <c r="AA476" s="9"/>
      <c r="AB476" s="9"/>
      <c r="AC476" s="9"/>
      <c r="AD476" s="9"/>
    </row>
    <row r="477" spans="1:30" ht="14.25" customHeight="1">
      <c r="A477" s="11"/>
      <c r="B477" s="12"/>
      <c r="C477" s="12"/>
      <c r="D477" s="12"/>
      <c r="E477" s="12"/>
      <c r="F477" s="12"/>
      <c r="G477" s="12"/>
      <c r="H477" s="12"/>
      <c r="I477" s="12"/>
      <c r="J477" s="12"/>
      <c r="K477" s="13"/>
      <c r="L477" s="9"/>
      <c r="M477" s="9"/>
      <c r="N477" s="9"/>
      <c r="O477" s="9"/>
      <c r="P477" s="9"/>
      <c r="Q477" s="9"/>
      <c r="R477" s="9"/>
      <c r="S477" s="9"/>
      <c r="T477" s="9"/>
      <c r="U477" s="9"/>
      <c r="V477" s="9"/>
      <c r="W477" s="9"/>
      <c r="X477" s="9"/>
      <c r="Y477" s="9"/>
      <c r="Z477" s="9"/>
      <c r="AA477" s="9"/>
      <c r="AB477" s="9"/>
      <c r="AC477" s="9"/>
      <c r="AD477" s="9"/>
    </row>
    <row r="478" spans="1:30" ht="14.25" customHeight="1">
      <c r="A478" s="11"/>
      <c r="B478" s="12"/>
      <c r="C478" s="12"/>
      <c r="D478" s="12"/>
      <c r="E478" s="12"/>
      <c r="F478" s="12"/>
      <c r="G478" s="12"/>
      <c r="H478" s="12"/>
      <c r="I478" s="12"/>
      <c r="J478" s="12"/>
      <c r="K478" s="13"/>
      <c r="L478" s="9"/>
      <c r="M478" s="9"/>
      <c r="N478" s="9"/>
      <c r="O478" s="9"/>
      <c r="P478" s="9"/>
      <c r="Q478" s="9"/>
      <c r="R478" s="9"/>
      <c r="S478" s="9"/>
      <c r="T478" s="9"/>
      <c r="U478" s="9"/>
      <c r="V478" s="9"/>
      <c r="W478" s="9"/>
      <c r="X478" s="9"/>
      <c r="Y478" s="9"/>
      <c r="Z478" s="9"/>
      <c r="AA478" s="9"/>
      <c r="AB478" s="9"/>
      <c r="AC478" s="9"/>
      <c r="AD478" s="9"/>
    </row>
    <row r="479" spans="1:30" ht="14.25" customHeight="1">
      <c r="A479" s="11"/>
      <c r="B479" s="12"/>
      <c r="C479" s="12"/>
      <c r="D479" s="12"/>
      <c r="E479" s="12"/>
      <c r="F479" s="12"/>
      <c r="G479" s="12"/>
      <c r="H479" s="12"/>
      <c r="I479" s="12"/>
      <c r="J479" s="12"/>
      <c r="K479" s="13"/>
      <c r="L479" s="9"/>
      <c r="M479" s="9"/>
      <c r="N479" s="9"/>
      <c r="O479" s="9"/>
      <c r="P479" s="9"/>
      <c r="Q479" s="9"/>
      <c r="R479" s="9"/>
      <c r="S479" s="9"/>
      <c r="T479" s="9"/>
      <c r="U479" s="9"/>
      <c r="V479" s="9"/>
      <c r="W479" s="9"/>
      <c r="X479" s="9"/>
      <c r="Y479" s="9"/>
      <c r="Z479" s="9"/>
      <c r="AA479" s="9"/>
      <c r="AB479" s="9"/>
      <c r="AC479" s="9"/>
      <c r="AD479" s="9"/>
    </row>
    <row r="480" spans="1:30" ht="14.25" customHeight="1">
      <c r="A480" s="11"/>
      <c r="B480" s="12"/>
      <c r="C480" s="12"/>
      <c r="D480" s="12"/>
      <c r="E480" s="12"/>
      <c r="F480" s="12"/>
      <c r="G480" s="12"/>
      <c r="H480" s="12"/>
      <c r="I480" s="12"/>
      <c r="J480" s="12"/>
      <c r="K480" s="13"/>
      <c r="L480" s="9"/>
      <c r="M480" s="9"/>
      <c r="N480" s="9"/>
      <c r="O480" s="9"/>
      <c r="P480" s="9"/>
      <c r="Q480" s="9"/>
      <c r="R480" s="9"/>
      <c r="S480" s="9"/>
      <c r="T480" s="9"/>
      <c r="U480" s="9"/>
      <c r="V480" s="9"/>
      <c r="W480" s="9"/>
      <c r="X480" s="9"/>
      <c r="Y480" s="9"/>
      <c r="Z480" s="9"/>
      <c r="AA480" s="9"/>
      <c r="AB480" s="9"/>
      <c r="AC480" s="9"/>
      <c r="AD480" s="9"/>
    </row>
    <row r="481" spans="1:30" ht="14.25" customHeight="1">
      <c r="A481" s="11"/>
      <c r="B481" s="12"/>
      <c r="C481" s="12"/>
      <c r="D481" s="12"/>
      <c r="E481" s="12"/>
      <c r="F481" s="12"/>
      <c r="G481" s="12"/>
      <c r="H481" s="12"/>
      <c r="I481" s="12"/>
      <c r="J481" s="12"/>
      <c r="K481" s="13"/>
      <c r="L481" s="9"/>
      <c r="M481" s="9"/>
      <c r="N481" s="9"/>
      <c r="O481" s="9"/>
      <c r="P481" s="9"/>
      <c r="Q481" s="9"/>
      <c r="R481" s="9"/>
      <c r="S481" s="9"/>
      <c r="T481" s="9"/>
      <c r="U481" s="9"/>
      <c r="V481" s="9"/>
      <c r="W481" s="9"/>
      <c r="X481" s="9"/>
      <c r="Y481" s="9"/>
      <c r="Z481" s="9"/>
      <c r="AA481" s="9"/>
      <c r="AB481" s="9"/>
      <c r="AC481" s="9"/>
      <c r="AD481" s="9"/>
    </row>
    <row r="482" spans="1:30" ht="14.25" customHeight="1">
      <c r="A482" s="11"/>
      <c r="B482" s="12"/>
      <c r="C482" s="12"/>
      <c r="D482" s="12"/>
      <c r="E482" s="12"/>
      <c r="F482" s="12"/>
      <c r="G482" s="12"/>
      <c r="H482" s="12"/>
      <c r="I482" s="12"/>
      <c r="J482" s="12"/>
      <c r="K482" s="13"/>
      <c r="L482" s="9"/>
      <c r="M482" s="9"/>
      <c r="N482" s="9"/>
      <c r="O482" s="9"/>
      <c r="P482" s="9"/>
      <c r="Q482" s="9"/>
      <c r="R482" s="9"/>
      <c r="S482" s="9"/>
      <c r="T482" s="9"/>
      <c r="U482" s="9"/>
      <c r="V482" s="9"/>
      <c r="W482" s="9"/>
      <c r="X482" s="9"/>
      <c r="Y482" s="9"/>
      <c r="Z482" s="9"/>
      <c r="AA482" s="9"/>
      <c r="AB482" s="9"/>
      <c r="AC482" s="9"/>
      <c r="AD482" s="9"/>
    </row>
    <row r="483" spans="1:30" ht="14.25" customHeight="1">
      <c r="A483" s="11"/>
      <c r="B483" s="12"/>
      <c r="C483" s="12"/>
      <c r="D483" s="12"/>
      <c r="E483" s="12"/>
      <c r="F483" s="12"/>
      <c r="G483" s="12"/>
      <c r="H483" s="12"/>
      <c r="I483" s="12"/>
      <c r="J483" s="12"/>
      <c r="K483" s="13"/>
      <c r="L483" s="9"/>
      <c r="M483" s="9"/>
      <c r="N483" s="9"/>
      <c r="O483" s="9"/>
      <c r="P483" s="9"/>
      <c r="Q483" s="9"/>
      <c r="R483" s="9"/>
      <c r="S483" s="9"/>
      <c r="T483" s="9"/>
      <c r="U483" s="9"/>
      <c r="V483" s="9"/>
      <c r="W483" s="9"/>
      <c r="X483" s="9"/>
      <c r="Y483" s="9"/>
      <c r="Z483" s="9"/>
      <c r="AA483" s="9"/>
      <c r="AB483" s="9"/>
      <c r="AC483" s="9"/>
      <c r="AD483" s="9"/>
    </row>
    <row r="484" spans="1:30" ht="14.25" customHeight="1">
      <c r="A484" s="11"/>
      <c r="B484" s="12"/>
      <c r="C484" s="12"/>
      <c r="D484" s="12"/>
      <c r="E484" s="12"/>
      <c r="F484" s="12"/>
      <c r="G484" s="12"/>
      <c r="H484" s="12"/>
      <c r="I484" s="12"/>
      <c r="J484" s="12"/>
      <c r="K484" s="13"/>
      <c r="L484" s="9"/>
      <c r="M484" s="9"/>
      <c r="N484" s="9"/>
      <c r="O484" s="9"/>
      <c r="P484" s="9"/>
      <c r="Q484" s="9"/>
      <c r="R484" s="9"/>
      <c r="S484" s="9"/>
      <c r="T484" s="9"/>
      <c r="U484" s="9"/>
      <c r="V484" s="9"/>
      <c r="W484" s="9"/>
      <c r="X484" s="9"/>
      <c r="Y484" s="9"/>
      <c r="Z484" s="9"/>
      <c r="AA484" s="9"/>
      <c r="AB484" s="9"/>
      <c r="AC484" s="9"/>
      <c r="AD484" s="9"/>
    </row>
    <row r="485" spans="1:30" ht="14.25" customHeight="1">
      <c r="A485" s="11"/>
      <c r="B485" s="12"/>
      <c r="C485" s="12"/>
      <c r="D485" s="12"/>
      <c r="E485" s="12"/>
      <c r="F485" s="12"/>
      <c r="G485" s="12"/>
      <c r="H485" s="12"/>
      <c r="I485" s="12"/>
      <c r="J485" s="12"/>
      <c r="K485" s="13"/>
      <c r="L485" s="9"/>
      <c r="M485" s="9"/>
      <c r="N485" s="9"/>
      <c r="O485" s="9"/>
      <c r="P485" s="9"/>
      <c r="Q485" s="9"/>
      <c r="R485" s="9"/>
      <c r="S485" s="9"/>
      <c r="T485" s="9"/>
      <c r="U485" s="9"/>
      <c r="V485" s="9"/>
      <c r="W485" s="9"/>
      <c r="X485" s="9"/>
      <c r="Y485" s="9"/>
      <c r="Z485" s="9"/>
      <c r="AA485" s="9"/>
      <c r="AB485" s="9"/>
      <c r="AC485" s="9"/>
      <c r="AD485" s="9"/>
    </row>
    <row r="486" spans="1:30" ht="14.25" customHeight="1">
      <c r="A486" s="11"/>
      <c r="B486" s="12"/>
      <c r="C486" s="12"/>
      <c r="D486" s="12"/>
      <c r="E486" s="12"/>
      <c r="F486" s="12"/>
      <c r="G486" s="12"/>
      <c r="H486" s="12"/>
      <c r="I486" s="12"/>
      <c r="J486" s="12"/>
      <c r="K486" s="13"/>
      <c r="L486" s="9"/>
      <c r="M486" s="9"/>
      <c r="N486" s="9"/>
      <c r="O486" s="9"/>
      <c r="P486" s="9"/>
      <c r="Q486" s="9"/>
      <c r="R486" s="9"/>
      <c r="S486" s="9"/>
      <c r="T486" s="9"/>
      <c r="U486" s="9"/>
      <c r="V486" s="9"/>
      <c r="W486" s="9"/>
      <c r="X486" s="9"/>
      <c r="Y486" s="9"/>
      <c r="Z486" s="9"/>
      <c r="AA486" s="9"/>
      <c r="AB486" s="9"/>
      <c r="AC486" s="9"/>
      <c r="AD486" s="9"/>
    </row>
    <row r="487" spans="1:30" ht="14.25" customHeight="1">
      <c r="A487" s="11"/>
      <c r="B487" s="12"/>
      <c r="C487" s="12"/>
      <c r="D487" s="12"/>
      <c r="E487" s="12"/>
      <c r="F487" s="12"/>
      <c r="G487" s="12"/>
      <c r="H487" s="12"/>
      <c r="I487" s="12"/>
      <c r="J487" s="12"/>
      <c r="K487" s="13"/>
      <c r="L487" s="9"/>
      <c r="M487" s="9"/>
      <c r="N487" s="9"/>
      <c r="O487" s="9"/>
      <c r="P487" s="9"/>
      <c r="Q487" s="9"/>
      <c r="R487" s="9"/>
      <c r="S487" s="9"/>
      <c r="T487" s="9"/>
      <c r="U487" s="9"/>
      <c r="V487" s="9"/>
      <c r="W487" s="9"/>
      <c r="X487" s="9"/>
      <c r="Y487" s="9"/>
      <c r="Z487" s="9"/>
      <c r="AA487" s="9"/>
      <c r="AB487" s="9"/>
      <c r="AC487" s="9"/>
      <c r="AD487" s="9"/>
    </row>
    <row r="488" spans="1:30" ht="14.25" customHeight="1">
      <c r="A488" s="11"/>
      <c r="B488" s="12"/>
      <c r="C488" s="12"/>
      <c r="D488" s="12"/>
      <c r="E488" s="12"/>
      <c r="F488" s="12"/>
      <c r="G488" s="12"/>
      <c r="H488" s="12"/>
      <c r="I488" s="12"/>
      <c r="J488" s="12"/>
      <c r="K488" s="13"/>
      <c r="L488" s="9"/>
      <c r="M488" s="9"/>
      <c r="N488" s="9"/>
      <c r="O488" s="9"/>
      <c r="P488" s="9"/>
      <c r="Q488" s="9"/>
      <c r="R488" s="9"/>
      <c r="S488" s="9"/>
      <c r="T488" s="9"/>
      <c r="U488" s="9"/>
      <c r="V488" s="9"/>
      <c r="W488" s="9"/>
      <c r="X488" s="9"/>
      <c r="Y488" s="9"/>
      <c r="Z488" s="9"/>
      <c r="AA488" s="9"/>
      <c r="AB488" s="9"/>
      <c r="AC488" s="9"/>
      <c r="AD488" s="9"/>
    </row>
    <row r="489" spans="1:30" ht="14.25" customHeight="1">
      <c r="A489" s="11"/>
      <c r="B489" s="12"/>
      <c r="C489" s="12"/>
      <c r="D489" s="12"/>
      <c r="E489" s="12"/>
      <c r="F489" s="12"/>
      <c r="G489" s="12"/>
      <c r="H489" s="12"/>
      <c r="I489" s="12"/>
      <c r="J489" s="12"/>
      <c r="K489" s="13"/>
      <c r="L489" s="9"/>
      <c r="M489" s="9"/>
      <c r="N489" s="9"/>
      <c r="O489" s="9"/>
      <c r="P489" s="9"/>
      <c r="Q489" s="9"/>
      <c r="R489" s="9"/>
      <c r="S489" s="9"/>
      <c r="T489" s="9"/>
      <c r="U489" s="9"/>
      <c r="V489" s="9"/>
      <c r="W489" s="9"/>
      <c r="X489" s="9"/>
      <c r="Y489" s="9"/>
      <c r="Z489" s="9"/>
      <c r="AA489" s="9"/>
      <c r="AB489" s="9"/>
      <c r="AC489" s="9"/>
      <c r="AD489" s="9"/>
    </row>
    <row r="490" spans="1:30" ht="14.25" customHeight="1">
      <c r="A490" s="11"/>
      <c r="B490" s="12"/>
      <c r="C490" s="12"/>
      <c r="D490" s="12"/>
      <c r="E490" s="12"/>
      <c r="F490" s="12"/>
      <c r="G490" s="12"/>
      <c r="H490" s="12"/>
      <c r="I490" s="12"/>
      <c r="J490" s="12"/>
      <c r="K490" s="13"/>
      <c r="L490" s="9"/>
      <c r="M490" s="9"/>
      <c r="N490" s="9"/>
      <c r="O490" s="9"/>
      <c r="P490" s="9"/>
      <c r="Q490" s="9"/>
      <c r="R490" s="9"/>
      <c r="S490" s="9"/>
      <c r="T490" s="9"/>
      <c r="U490" s="9"/>
      <c r="V490" s="9"/>
      <c r="W490" s="9"/>
      <c r="X490" s="9"/>
      <c r="Y490" s="9"/>
      <c r="Z490" s="9"/>
      <c r="AA490" s="9"/>
      <c r="AB490" s="9"/>
      <c r="AC490" s="9"/>
      <c r="AD490" s="9"/>
    </row>
    <row r="491" spans="1:30" ht="14.25" customHeight="1">
      <c r="A491" s="11"/>
      <c r="B491" s="12"/>
      <c r="C491" s="12"/>
      <c r="D491" s="12"/>
      <c r="E491" s="12"/>
      <c r="F491" s="12"/>
      <c r="G491" s="12"/>
      <c r="H491" s="12"/>
      <c r="I491" s="12"/>
      <c r="J491" s="12"/>
      <c r="K491" s="13"/>
      <c r="L491" s="9"/>
      <c r="M491" s="9"/>
      <c r="N491" s="9"/>
      <c r="O491" s="9"/>
      <c r="P491" s="9"/>
      <c r="Q491" s="9"/>
      <c r="R491" s="9"/>
      <c r="S491" s="9"/>
      <c r="T491" s="9"/>
      <c r="U491" s="9"/>
      <c r="V491" s="9"/>
      <c r="W491" s="9"/>
      <c r="X491" s="9"/>
      <c r="Y491" s="9"/>
      <c r="Z491" s="9"/>
      <c r="AA491" s="9"/>
      <c r="AB491" s="9"/>
      <c r="AC491" s="9"/>
      <c r="AD491" s="9"/>
    </row>
    <row r="492" spans="1:30" ht="14.25" customHeight="1">
      <c r="A492" s="11"/>
      <c r="B492" s="12"/>
      <c r="C492" s="12"/>
      <c r="D492" s="12"/>
      <c r="E492" s="12"/>
      <c r="F492" s="12"/>
      <c r="G492" s="12"/>
      <c r="H492" s="12"/>
      <c r="I492" s="12"/>
      <c r="J492" s="12"/>
      <c r="K492" s="13"/>
      <c r="L492" s="9"/>
      <c r="M492" s="9"/>
      <c r="N492" s="9"/>
      <c r="O492" s="9"/>
      <c r="P492" s="9"/>
      <c r="Q492" s="9"/>
      <c r="R492" s="9"/>
      <c r="S492" s="9"/>
      <c r="T492" s="9"/>
      <c r="U492" s="9"/>
      <c r="V492" s="9"/>
      <c r="W492" s="9"/>
      <c r="X492" s="9"/>
      <c r="Y492" s="9"/>
      <c r="Z492" s="9"/>
      <c r="AA492" s="9"/>
      <c r="AB492" s="9"/>
      <c r="AC492" s="9"/>
      <c r="AD492" s="9"/>
    </row>
    <row r="493" spans="1:30" ht="14.25" customHeight="1">
      <c r="A493" s="11"/>
      <c r="B493" s="12"/>
      <c r="C493" s="12"/>
      <c r="D493" s="12"/>
      <c r="E493" s="12"/>
      <c r="F493" s="12"/>
      <c r="G493" s="12"/>
      <c r="H493" s="12"/>
      <c r="I493" s="12"/>
      <c r="J493" s="12"/>
      <c r="K493" s="13"/>
      <c r="L493" s="9"/>
      <c r="M493" s="9"/>
      <c r="N493" s="9"/>
      <c r="O493" s="9"/>
      <c r="P493" s="9"/>
      <c r="Q493" s="9"/>
      <c r="R493" s="9"/>
      <c r="S493" s="9"/>
      <c r="T493" s="9"/>
      <c r="U493" s="9"/>
      <c r="V493" s="9"/>
      <c r="W493" s="9"/>
      <c r="X493" s="9"/>
      <c r="Y493" s="9"/>
      <c r="Z493" s="9"/>
      <c r="AA493" s="9"/>
      <c r="AB493" s="9"/>
      <c r="AC493" s="9"/>
      <c r="AD493" s="9"/>
    </row>
    <row r="494" spans="1:30" ht="14.25" customHeight="1">
      <c r="A494" s="11"/>
      <c r="B494" s="12"/>
      <c r="C494" s="12"/>
      <c r="D494" s="12"/>
      <c r="E494" s="12"/>
      <c r="F494" s="12"/>
      <c r="G494" s="12"/>
      <c r="H494" s="12"/>
      <c r="I494" s="12"/>
      <c r="J494" s="12"/>
      <c r="K494" s="13"/>
      <c r="L494" s="9"/>
      <c r="M494" s="9"/>
      <c r="N494" s="9"/>
      <c r="O494" s="9"/>
      <c r="P494" s="9"/>
      <c r="Q494" s="9"/>
      <c r="R494" s="9"/>
      <c r="S494" s="9"/>
      <c r="T494" s="9"/>
      <c r="U494" s="9"/>
      <c r="V494" s="9"/>
      <c r="W494" s="9"/>
      <c r="X494" s="9"/>
      <c r="Y494" s="9"/>
      <c r="Z494" s="9"/>
      <c r="AA494" s="9"/>
      <c r="AB494" s="9"/>
      <c r="AC494" s="9"/>
      <c r="AD494" s="9"/>
    </row>
    <row r="495" spans="1:30" ht="14.25" customHeight="1">
      <c r="A495" s="11"/>
      <c r="B495" s="12"/>
      <c r="C495" s="12"/>
      <c r="D495" s="12"/>
      <c r="E495" s="12"/>
      <c r="F495" s="12"/>
      <c r="G495" s="12"/>
      <c r="H495" s="12"/>
      <c r="I495" s="12"/>
      <c r="J495" s="12"/>
      <c r="K495" s="13"/>
      <c r="L495" s="9"/>
      <c r="M495" s="9"/>
      <c r="N495" s="9"/>
      <c r="O495" s="9"/>
      <c r="P495" s="9"/>
      <c r="Q495" s="9"/>
      <c r="R495" s="9"/>
      <c r="S495" s="9"/>
      <c r="T495" s="9"/>
      <c r="U495" s="9"/>
      <c r="V495" s="9"/>
      <c r="W495" s="9"/>
      <c r="X495" s="9"/>
      <c r="Y495" s="9"/>
      <c r="Z495" s="9"/>
      <c r="AA495" s="9"/>
      <c r="AB495" s="9"/>
      <c r="AC495" s="9"/>
      <c r="AD495" s="9"/>
    </row>
    <row r="496" spans="1:30" ht="14.25" customHeight="1">
      <c r="A496" s="11"/>
      <c r="B496" s="12"/>
      <c r="C496" s="12"/>
      <c r="D496" s="12"/>
      <c r="E496" s="12"/>
      <c r="F496" s="12"/>
      <c r="G496" s="12"/>
      <c r="H496" s="12"/>
      <c r="I496" s="12"/>
      <c r="J496" s="12"/>
      <c r="K496" s="13"/>
      <c r="L496" s="9"/>
      <c r="M496" s="9"/>
      <c r="N496" s="9"/>
      <c r="O496" s="9"/>
      <c r="P496" s="9"/>
      <c r="Q496" s="9"/>
      <c r="R496" s="9"/>
      <c r="S496" s="9"/>
      <c r="T496" s="9"/>
      <c r="U496" s="9"/>
      <c r="V496" s="9"/>
      <c r="W496" s="9"/>
      <c r="X496" s="9"/>
      <c r="Y496" s="9"/>
      <c r="Z496" s="9"/>
      <c r="AA496" s="9"/>
      <c r="AB496" s="9"/>
      <c r="AC496" s="9"/>
      <c r="AD496" s="9"/>
    </row>
    <row r="497" spans="1:30" ht="14.25" customHeight="1">
      <c r="A497" s="11"/>
      <c r="B497" s="12"/>
      <c r="C497" s="12"/>
      <c r="D497" s="12"/>
      <c r="E497" s="12"/>
      <c r="F497" s="12"/>
      <c r="G497" s="12"/>
      <c r="H497" s="12"/>
      <c r="I497" s="12"/>
      <c r="J497" s="12"/>
      <c r="K497" s="13"/>
      <c r="L497" s="9"/>
      <c r="M497" s="9"/>
      <c r="N497" s="9"/>
      <c r="O497" s="9"/>
      <c r="P497" s="9"/>
      <c r="Q497" s="9"/>
      <c r="R497" s="9"/>
      <c r="S497" s="9"/>
      <c r="T497" s="9"/>
      <c r="U497" s="9"/>
      <c r="V497" s="9"/>
      <c r="W497" s="9"/>
      <c r="X497" s="9"/>
      <c r="Y497" s="9"/>
      <c r="Z497" s="9"/>
      <c r="AA497" s="9"/>
      <c r="AB497" s="9"/>
      <c r="AC497" s="9"/>
      <c r="AD497" s="9"/>
    </row>
    <row r="498" spans="1:30" ht="14.25" customHeight="1">
      <c r="A498" s="11"/>
      <c r="B498" s="12"/>
      <c r="C498" s="12"/>
      <c r="D498" s="12"/>
      <c r="E498" s="12"/>
      <c r="F498" s="12"/>
      <c r="G498" s="12"/>
      <c r="H498" s="12"/>
      <c r="I498" s="12"/>
      <c r="J498" s="12"/>
      <c r="K498" s="13"/>
      <c r="L498" s="9"/>
      <c r="M498" s="9"/>
      <c r="N498" s="9"/>
      <c r="O498" s="9"/>
      <c r="P498" s="9"/>
      <c r="Q498" s="9"/>
      <c r="R498" s="9"/>
      <c r="S498" s="9"/>
      <c r="T498" s="9"/>
      <c r="U498" s="9"/>
      <c r="V498" s="9"/>
      <c r="W498" s="9"/>
      <c r="X498" s="9"/>
      <c r="Y498" s="9"/>
      <c r="Z498" s="9"/>
      <c r="AA498" s="9"/>
      <c r="AB498" s="9"/>
      <c r="AC498" s="9"/>
      <c r="AD498" s="9"/>
    </row>
    <row r="499" spans="1:30" ht="14.25" customHeight="1">
      <c r="A499" s="11"/>
      <c r="B499" s="12"/>
      <c r="C499" s="12"/>
      <c r="D499" s="12"/>
      <c r="E499" s="12"/>
      <c r="F499" s="12"/>
      <c r="G499" s="12"/>
      <c r="H499" s="12"/>
      <c r="I499" s="12"/>
      <c r="J499" s="12"/>
      <c r="K499" s="13"/>
      <c r="L499" s="9"/>
      <c r="M499" s="9"/>
      <c r="N499" s="9"/>
      <c r="O499" s="9"/>
      <c r="P499" s="9"/>
      <c r="Q499" s="9"/>
      <c r="R499" s="9"/>
      <c r="S499" s="9"/>
      <c r="T499" s="9"/>
      <c r="U499" s="9"/>
      <c r="V499" s="9"/>
      <c r="W499" s="9"/>
      <c r="X499" s="9"/>
      <c r="Y499" s="9"/>
      <c r="Z499" s="9"/>
      <c r="AA499" s="9"/>
      <c r="AB499" s="9"/>
      <c r="AC499" s="9"/>
      <c r="AD499" s="9"/>
    </row>
    <row r="500" spans="1:30" ht="14.25" customHeight="1">
      <c r="A500" s="11"/>
      <c r="B500" s="12"/>
      <c r="C500" s="12"/>
      <c r="D500" s="12"/>
      <c r="E500" s="12"/>
      <c r="F500" s="12"/>
      <c r="G500" s="12"/>
      <c r="H500" s="12"/>
      <c r="I500" s="12"/>
      <c r="J500" s="12"/>
      <c r="K500" s="13"/>
      <c r="L500" s="9"/>
      <c r="M500" s="9"/>
      <c r="N500" s="9"/>
      <c r="O500" s="9"/>
      <c r="P500" s="9"/>
      <c r="Q500" s="9"/>
      <c r="R500" s="9"/>
      <c r="S500" s="9"/>
      <c r="T500" s="9"/>
      <c r="U500" s="9"/>
      <c r="V500" s="9"/>
      <c r="W500" s="9"/>
      <c r="X500" s="9"/>
      <c r="Y500" s="9"/>
      <c r="Z500" s="9"/>
      <c r="AA500" s="9"/>
      <c r="AB500" s="9"/>
      <c r="AC500" s="9"/>
      <c r="AD500" s="9"/>
    </row>
    <row r="501" spans="1:30" ht="14.25" customHeight="1">
      <c r="A501" s="11"/>
      <c r="B501" s="12"/>
      <c r="C501" s="12"/>
      <c r="D501" s="12"/>
      <c r="E501" s="12"/>
      <c r="F501" s="12"/>
      <c r="G501" s="12"/>
      <c r="H501" s="12"/>
      <c r="I501" s="12"/>
      <c r="J501" s="12"/>
      <c r="K501" s="13"/>
      <c r="L501" s="9"/>
      <c r="M501" s="9"/>
      <c r="N501" s="9"/>
      <c r="O501" s="9"/>
      <c r="P501" s="9"/>
      <c r="Q501" s="9"/>
      <c r="R501" s="9"/>
      <c r="S501" s="9"/>
      <c r="T501" s="9"/>
      <c r="U501" s="9"/>
      <c r="V501" s="9"/>
      <c r="W501" s="9"/>
      <c r="X501" s="9"/>
      <c r="Y501" s="9"/>
      <c r="Z501" s="9"/>
      <c r="AA501" s="9"/>
      <c r="AB501" s="9"/>
      <c r="AC501" s="9"/>
      <c r="AD501" s="9"/>
    </row>
    <row r="502" spans="1:30" ht="14.25" customHeight="1">
      <c r="A502" s="11"/>
      <c r="B502" s="12"/>
      <c r="C502" s="12"/>
      <c r="D502" s="12"/>
      <c r="E502" s="12"/>
      <c r="F502" s="12"/>
      <c r="G502" s="12"/>
      <c r="H502" s="12"/>
      <c r="I502" s="12"/>
      <c r="J502" s="12"/>
      <c r="K502" s="13"/>
      <c r="L502" s="9"/>
      <c r="M502" s="9"/>
      <c r="N502" s="9"/>
      <c r="O502" s="9"/>
      <c r="P502" s="9"/>
      <c r="Q502" s="9"/>
      <c r="R502" s="9"/>
      <c r="S502" s="9"/>
      <c r="T502" s="9"/>
      <c r="U502" s="9"/>
      <c r="V502" s="9"/>
      <c r="W502" s="9"/>
      <c r="X502" s="9"/>
      <c r="Y502" s="9"/>
      <c r="Z502" s="9"/>
      <c r="AA502" s="9"/>
      <c r="AB502" s="9"/>
      <c r="AC502" s="9"/>
      <c r="AD502" s="9"/>
    </row>
    <row r="503" spans="1:30" ht="14.25" customHeight="1">
      <c r="A503" s="11"/>
      <c r="B503" s="12"/>
      <c r="C503" s="12"/>
      <c r="D503" s="12"/>
      <c r="E503" s="12"/>
      <c r="F503" s="12"/>
      <c r="G503" s="12"/>
      <c r="H503" s="12"/>
      <c r="I503" s="12"/>
      <c r="J503" s="12"/>
      <c r="K503" s="13"/>
      <c r="L503" s="9"/>
      <c r="M503" s="9"/>
      <c r="N503" s="9"/>
      <c r="O503" s="9"/>
      <c r="P503" s="9"/>
      <c r="Q503" s="9"/>
      <c r="R503" s="9"/>
      <c r="S503" s="9"/>
      <c r="T503" s="9"/>
      <c r="U503" s="9"/>
      <c r="V503" s="9"/>
      <c r="W503" s="9"/>
      <c r="X503" s="9"/>
      <c r="Y503" s="9"/>
      <c r="Z503" s="9"/>
      <c r="AA503" s="9"/>
      <c r="AB503" s="9"/>
      <c r="AC503" s="9"/>
      <c r="AD503" s="9"/>
    </row>
    <row r="504" spans="1:30" ht="14.25" customHeight="1">
      <c r="A504" s="11"/>
      <c r="B504" s="12"/>
      <c r="C504" s="12"/>
      <c r="D504" s="12"/>
      <c r="E504" s="12"/>
      <c r="F504" s="12"/>
      <c r="G504" s="12"/>
      <c r="H504" s="12"/>
      <c r="I504" s="12"/>
      <c r="J504" s="12"/>
      <c r="K504" s="13"/>
      <c r="L504" s="9"/>
      <c r="M504" s="9"/>
      <c r="N504" s="9"/>
      <c r="O504" s="9"/>
      <c r="P504" s="9"/>
      <c r="Q504" s="9"/>
      <c r="R504" s="9"/>
      <c r="S504" s="9"/>
      <c r="T504" s="9"/>
      <c r="U504" s="9"/>
      <c r="V504" s="9"/>
      <c r="W504" s="9"/>
      <c r="X504" s="9"/>
      <c r="Y504" s="9"/>
      <c r="Z504" s="9"/>
      <c r="AA504" s="9"/>
      <c r="AB504" s="9"/>
      <c r="AC504" s="9"/>
      <c r="AD504" s="9"/>
    </row>
    <row r="505" spans="1:30" ht="14.25" customHeight="1">
      <c r="A505" s="11"/>
      <c r="B505" s="12"/>
      <c r="C505" s="12"/>
      <c r="D505" s="12"/>
      <c r="E505" s="12"/>
      <c r="F505" s="12"/>
      <c r="G505" s="12"/>
      <c r="H505" s="12"/>
      <c r="I505" s="12"/>
      <c r="J505" s="12"/>
      <c r="K505" s="13"/>
      <c r="L505" s="9"/>
      <c r="M505" s="9"/>
      <c r="N505" s="9"/>
      <c r="O505" s="9"/>
      <c r="P505" s="9"/>
      <c r="Q505" s="9"/>
      <c r="R505" s="9"/>
      <c r="S505" s="9"/>
      <c r="T505" s="9"/>
      <c r="U505" s="9"/>
      <c r="V505" s="9"/>
      <c r="W505" s="9"/>
      <c r="X505" s="9"/>
      <c r="Y505" s="9"/>
      <c r="Z505" s="9"/>
      <c r="AA505" s="9"/>
      <c r="AB505" s="9"/>
      <c r="AC505" s="9"/>
      <c r="AD505" s="9"/>
    </row>
    <row r="506" spans="1:30" ht="14.25" customHeight="1">
      <c r="A506" s="11"/>
      <c r="B506" s="12"/>
      <c r="C506" s="12"/>
      <c r="D506" s="12"/>
      <c r="E506" s="12"/>
      <c r="F506" s="12"/>
      <c r="G506" s="12"/>
      <c r="H506" s="12"/>
      <c r="I506" s="12"/>
      <c r="J506" s="12"/>
      <c r="K506" s="13"/>
      <c r="L506" s="9"/>
      <c r="M506" s="9"/>
      <c r="N506" s="9"/>
      <c r="O506" s="9"/>
      <c r="P506" s="9"/>
      <c r="Q506" s="9"/>
      <c r="R506" s="9"/>
      <c r="S506" s="9"/>
      <c r="T506" s="9"/>
      <c r="U506" s="9"/>
      <c r="V506" s="9"/>
      <c r="W506" s="9"/>
      <c r="X506" s="9"/>
      <c r="Y506" s="9"/>
      <c r="Z506" s="9"/>
      <c r="AA506" s="9"/>
      <c r="AB506" s="9"/>
      <c r="AC506" s="9"/>
      <c r="AD506" s="9"/>
    </row>
    <row r="507" spans="1:30" ht="14.25" customHeight="1">
      <c r="A507" s="11"/>
      <c r="B507" s="12"/>
      <c r="C507" s="12"/>
      <c r="D507" s="12"/>
      <c r="E507" s="12"/>
      <c r="F507" s="12"/>
      <c r="G507" s="12"/>
      <c r="H507" s="12"/>
      <c r="I507" s="12"/>
      <c r="J507" s="12"/>
      <c r="K507" s="13"/>
      <c r="L507" s="9"/>
      <c r="M507" s="9"/>
      <c r="N507" s="9"/>
      <c r="O507" s="9"/>
      <c r="P507" s="9"/>
      <c r="Q507" s="9"/>
      <c r="R507" s="9"/>
      <c r="S507" s="9"/>
      <c r="T507" s="9"/>
      <c r="U507" s="9"/>
      <c r="V507" s="9"/>
      <c r="W507" s="9"/>
      <c r="X507" s="9"/>
      <c r="Y507" s="9"/>
      <c r="Z507" s="9"/>
      <c r="AA507" s="9"/>
      <c r="AB507" s="9"/>
      <c r="AC507" s="9"/>
      <c r="AD507" s="9"/>
    </row>
    <row r="508" spans="1:30" ht="14.25" customHeight="1">
      <c r="A508" s="11"/>
      <c r="B508" s="12"/>
      <c r="C508" s="12"/>
      <c r="D508" s="12"/>
      <c r="E508" s="12"/>
      <c r="F508" s="12"/>
      <c r="G508" s="12"/>
      <c r="H508" s="12"/>
      <c r="I508" s="12"/>
      <c r="J508" s="12"/>
      <c r="K508" s="13"/>
      <c r="L508" s="9"/>
      <c r="M508" s="9"/>
      <c r="N508" s="9"/>
      <c r="O508" s="9"/>
      <c r="P508" s="9"/>
      <c r="Q508" s="9"/>
      <c r="R508" s="9"/>
      <c r="S508" s="9"/>
      <c r="T508" s="9"/>
      <c r="U508" s="9"/>
      <c r="V508" s="9"/>
      <c r="W508" s="9"/>
      <c r="X508" s="9"/>
      <c r="Y508" s="9"/>
      <c r="Z508" s="9"/>
      <c r="AA508" s="9"/>
      <c r="AB508" s="9"/>
      <c r="AC508" s="9"/>
      <c r="AD508" s="9"/>
    </row>
    <row r="509" spans="1:30" ht="14.25" customHeight="1">
      <c r="A509" s="11"/>
      <c r="B509" s="12"/>
      <c r="C509" s="12"/>
      <c r="D509" s="12"/>
      <c r="E509" s="12"/>
      <c r="F509" s="12"/>
      <c r="G509" s="12"/>
      <c r="H509" s="12"/>
      <c r="I509" s="12"/>
      <c r="J509" s="12"/>
      <c r="K509" s="13"/>
      <c r="L509" s="9"/>
      <c r="M509" s="9"/>
      <c r="N509" s="9"/>
      <c r="O509" s="9"/>
      <c r="P509" s="9"/>
      <c r="Q509" s="9"/>
      <c r="R509" s="9"/>
      <c r="S509" s="9"/>
      <c r="T509" s="9"/>
      <c r="U509" s="9"/>
      <c r="V509" s="9"/>
      <c r="W509" s="9"/>
      <c r="X509" s="9"/>
      <c r="Y509" s="9"/>
      <c r="Z509" s="9"/>
      <c r="AA509" s="9"/>
      <c r="AB509" s="9"/>
      <c r="AC509" s="9"/>
      <c r="AD509" s="9"/>
    </row>
    <row r="510" spans="1:30" ht="14.25" customHeight="1">
      <c r="A510" s="11"/>
      <c r="B510" s="12"/>
      <c r="C510" s="12"/>
      <c r="D510" s="12"/>
      <c r="E510" s="12"/>
      <c r="F510" s="12"/>
      <c r="G510" s="12"/>
      <c r="H510" s="12"/>
      <c r="I510" s="12"/>
      <c r="J510" s="12"/>
      <c r="K510" s="13"/>
      <c r="L510" s="9"/>
      <c r="M510" s="9"/>
      <c r="N510" s="9"/>
      <c r="O510" s="9"/>
      <c r="P510" s="9"/>
      <c r="Q510" s="9"/>
      <c r="R510" s="9"/>
      <c r="S510" s="9"/>
      <c r="T510" s="9"/>
      <c r="U510" s="9"/>
      <c r="V510" s="9"/>
      <c r="W510" s="9"/>
      <c r="X510" s="9"/>
      <c r="Y510" s="9"/>
      <c r="Z510" s="9"/>
      <c r="AA510" s="9"/>
      <c r="AB510" s="9"/>
      <c r="AC510" s="9"/>
      <c r="AD510" s="9"/>
    </row>
    <row r="511" spans="1:30" ht="14.25" customHeight="1">
      <c r="A511" s="11"/>
      <c r="B511" s="12"/>
      <c r="C511" s="12"/>
      <c r="D511" s="12"/>
      <c r="E511" s="12"/>
      <c r="F511" s="12"/>
      <c r="G511" s="12"/>
      <c r="H511" s="12"/>
      <c r="I511" s="12"/>
      <c r="J511" s="12"/>
      <c r="K511" s="13"/>
      <c r="L511" s="9"/>
      <c r="M511" s="9"/>
      <c r="N511" s="9"/>
      <c r="O511" s="9"/>
      <c r="P511" s="9"/>
      <c r="Q511" s="9"/>
      <c r="R511" s="9"/>
      <c r="S511" s="9"/>
      <c r="T511" s="9"/>
      <c r="U511" s="9"/>
      <c r="V511" s="9"/>
      <c r="W511" s="9"/>
      <c r="X511" s="9"/>
      <c r="Y511" s="9"/>
      <c r="Z511" s="9"/>
      <c r="AA511" s="9"/>
      <c r="AB511" s="9"/>
      <c r="AC511" s="9"/>
      <c r="AD511" s="9"/>
    </row>
    <row r="512" spans="1:30" ht="14.25" customHeight="1">
      <c r="A512" s="11"/>
      <c r="B512" s="12"/>
      <c r="C512" s="12"/>
      <c r="D512" s="12"/>
      <c r="E512" s="12"/>
      <c r="F512" s="12"/>
      <c r="G512" s="12"/>
      <c r="H512" s="12"/>
      <c r="I512" s="12"/>
      <c r="J512" s="12"/>
      <c r="K512" s="13"/>
      <c r="L512" s="9"/>
      <c r="M512" s="9"/>
      <c r="N512" s="9"/>
      <c r="O512" s="9"/>
      <c r="P512" s="9"/>
      <c r="Q512" s="9"/>
      <c r="R512" s="9"/>
      <c r="S512" s="9"/>
      <c r="T512" s="9"/>
      <c r="U512" s="9"/>
      <c r="V512" s="9"/>
      <c r="W512" s="9"/>
      <c r="X512" s="9"/>
      <c r="Y512" s="9"/>
      <c r="Z512" s="9"/>
      <c r="AA512" s="9"/>
      <c r="AB512" s="9"/>
      <c r="AC512" s="9"/>
      <c r="AD512" s="9"/>
    </row>
    <row r="513" spans="1:30" ht="14.25" customHeight="1">
      <c r="A513" s="11"/>
      <c r="B513" s="12"/>
      <c r="C513" s="12"/>
      <c r="D513" s="12"/>
      <c r="E513" s="12"/>
      <c r="F513" s="12"/>
      <c r="G513" s="12"/>
      <c r="H513" s="12"/>
      <c r="I513" s="12"/>
      <c r="J513" s="12"/>
      <c r="K513" s="13"/>
      <c r="L513" s="9"/>
      <c r="M513" s="9"/>
      <c r="N513" s="9"/>
      <c r="O513" s="9"/>
      <c r="P513" s="9"/>
      <c r="Q513" s="9"/>
      <c r="R513" s="9"/>
      <c r="S513" s="9"/>
      <c r="T513" s="9"/>
      <c r="U513" s="9"/>
      <c r="V513" s="9"/>
      <c r="W513" s="9"/>
      <c r="X513" s="9"/>
      <c r="Y513" s="9"/>
      <c r="Z513" s="9"/>
      <c r="AA513" s="9"/>
      <c r="AB513" s="9"/>
      <c r="AC513" s="9"/>
      <c r="AD513" s="9"/>
    </row>
    <row r="514" spans="1:30" ht="14.25" customHeight="1">
      <c r="A514" s="11"/>
      <c r="B514" s="12"/>
      <c r="C514" s="12"/>
      <c r="D514" s="12"/>
      <c r="E514" s="12"/>
      <c r="F514" s="12"/>
      <c r="G514" s="12"/>
      <c r="H514" s="12"/>
      <c r="I514" s="12"/>
      <c r="J514" s="12"/>
      <c r="K514" s="13"/>
      <c r="L514" s="9"/>
      <c r="M514" s="9"/>
      <c r="N514" s="9"/>
      <c r="O514" s="9"/>
      <c r="P514" s="9"/>
      <c r="Q514" s="9"/>
      <c r="R514" s="9"/>
      <c r="S514" s="9"/>
      <c r="T514" s="9"/>
      <c r="U514" s="9"/>
      <c r="V514" s="9"/>
      <c r="W514" s="9"/>
      <c r="X514" s="9"/>
      <c r="Y514" s="9"/>
      <c r="Z514" s="9"/>
      <c r="AA514" s="9"/>
      <c r="AB514" s="9"/>
      <c r="AC514" s="9"/>
      <c r="AD514" s="9"/>
    </row>
    <row r="515" spans="1:30" ht="14.25" customHeight="1">
      <c r="A515" s="11"/>
      <c r="B515" s="12"/>
      <c r="C515" s="12"/>
      <c r="D515" s="12"/>
      <c r="E515" s="12"/>
      <c r="F515" s="12"/>
      <c r="G515" s="12"/>
      <c r="H515" s="12"/>
      <c r="I515" s="12"/>
      <c r="J515" s="12"/>
      <c r="K515" s="13"/>
      <c r="L515" s="9"/>
      <c r="M515" s="9"/>
      <c r="N515" s="9"/>
      <c r="O515" s="9"/>
      <c r="P515" s="9"/>
      <c r="Q515" s="9"/>
      <c r="R515" s="9"/>
      <c r="S515" s="9"/>
      <c r="T515" s="9"/>
      <c r="U515" s="9"/>
      <c r="V515" s="9"/>
      <c r="W515" s="9"/>
      <c r="X515" s="9"/>
      <c r="Y515" s="9"/>
      <c r="Z515" s="9"/>
      <c r="AA515" s="9"/>
      <c r="AB515" s="9"/>
      <c r="AC515" s="9"/>
      <c r="AD515" s="9"/>
    </row>
    <row r="516" spans="1:30" ht="14.25" customHeight="1">
      <c r="A516" s="11"/>
      <c r="B516" s="12"/>
      <c r="C516" s="12"/>
      <c r="D516" s="12"/>
      <c r="E516" s="12"/>
      <c r="F516" s="12"/>
      <c r="G516" s="12"/>
      <c r="H516" s="12"/>
      <c r="I516" s="12"/>
      <c r="J516" s="12"/>
      <c r="K516" s="13"/>
      <c r="L516" s="9"/>
      <c r="M516" s="9"/>
      <c r="N516" s="9"/>
      <c r="O516" s="9"/>
      <c r="P516" s="9"/>
      <c r="Q516" s="9"/>
      <c r="R516" s="9"/>
      <c r="S516" s="9"/>
      <c r="T516" s="9"/>
      <c r="U516" s="9"/>
      <c r="V516" s="9"/>
      <c r="W516" s="9"/>
      <c r="X516" s="9"/>
      <c r="Y516" s="9"/>
      <c r="Z516" s="9"/>
      <c r="AA516" s="9"/>
      <c r="AB516" s="9"/>
      <c r="AC516" s="9"/>
      <c r="AD516" s="9"/>
    </row>
    <row r="517" spans="1:30" ht="14.25" customHeight="1">
      <c r="A517" s="11"/>
      <c r="B517" s="12"/>
      <c r="C517" s="12"/>
      <c r="D517" s="12"/>
      <c r="E517" s="12"/>
      <c r="F517" s="12"/>
      <c r="G517" s="12"/>
      <c r="H517" s="12"/>
      <c r="I517" s="12"/>
      <c r="J517" s="12"/>
      <c r="K517" s="13"/>
      <c r="L517" s="9"/>
      <c r="M517" s="9"/>
      <c r="N517" s="9"/>
      <c r="O517" s="9"/>
      <c r="P517" s="9"/>
      <c r="Q517" s="9"/>
      <c r="R517" s="9"/>
      <c r="S517" s="9"/>
      <c r="T517" s="9"/>
      <c r="U517" s="9"/>
      <c r="V517" s="9"/>
      <c r="W517" s="9"/>
      <c r="X517" s="9"/>
      <c r="Y517" s="9"/>
      <c r="Z517" s="9"/>
      <c r="AA517" s="9"/>
      <c r="AB517" s="9"/>
      <c r="AC517" s="9"/>
      <c r="AD517" s="9"/>
    </row>
    <row r="518" spans="1:30" ht="14.25" customHeight="1">
      <c r="A518" s="11"/>
      <c r="B518" s="12"/>
      <c r="C518" s="12"/>
      <c r="D518" s="12"/>
      <c r="E518" s="12"/>
      <c r="F518" s="12"/>
      <c r="G518" s="12"/>
      <c r="H518" s="12"/>
      <c r="I518" s="12"/>
      <c r="J518" s="12"/>
      <c r="K518" s="13"/>
      <c r="L518" s="9"/>
      <c r="M518" s="9"/>
      <c r="N518" s="9"/>
      <c r="O518" s="9"/>
      <c r="P518" s="9"/>
      <c r="Q518" s="9"/>
      <c r="R518" s="9"/>
      <c r="S518" s="9"/>
      <c r="T518" s="9"/>
      <c r="U518" s="9"/>
      <c r="V518" s="9"/>
      <c r="W518" s="9"/>
      <c r="X518" s="9"/>
      <c r="Y518" s="9"/>
      <c r="Z518" s="9"/>
      <c r="AA518" s="9"/>
      <c r="AB518" s="9"/>
      <c r="AC518" s="9"/>
      <c r="AD518" s="9"/>
    </row>
    <row r="519" spans="1:30" ht="14.25" customHeight="1">
      <c r="A519" s="11"/>
      <c r="B519" s="12"/>
      <c r="C519" s="12"/>
      <c r="D519" s="12"/>
      <c r="E519" s="12"/>
      <c r="F519" s="12"/>
      <c r="G519" s="12"/>
      <c r="H519" s="12"/>
      <c r="I519" s="12"/>
      <c r="J519" s="12"/>
      <c r="K519" s="13"/>
      <c r="L519" s="9"/>
      <c r="M519" s="9"/>
      <c r="N519" s="9"/>
      <c r="O519" s="9"/>
      <c r="P519" s="9"/>
      <c r="Q519" s="9"/>
      <c r="R519" s="9"/>
      <c r="S519" s="9"/>
      <c r="T519" s="9"/>
      <c r="U519" s="9"/>
      <c r="V519" s="9"/>
      <c r="W519" s="9"/>
      <c r="X519" s="9"/>
      <c r="Y519" s="9"/>
      <c r="Z519" s="9"/>
      <c r="AA519" s="9"/>
      <c r="AB519" s="9"/>
      <c r="AC519" s="9"/>
      <c r="AD519" s="9"/>
    </row>
    <row r="520" spans="1:30" ht="14.25" customHeight="1">
      <c r="A520" s="11"/>
      <c r="B520" s="12"/>
      <c r="C520" s="12"/>
      <c r="D520" s="12"/>
      <c r="E520" s="12"/>
      <c r="F520" s="12"/>
      <c r="G520" s="12"/>
      <c r="H520" s="12"/>
      <c r="I520" s="12"/>
      <c r="J520" s="12"/>
      <c r="K520" s="13"/>
      <c r="L520" s="9"/>
      <c r="M520" s="9"/>
      <c r="N520" s="9"/>
      <c r="O520" s="9"/>
      <c r="P520" s="9"/>
      <c r="Q520" s="9"/>
      <c r="R520" s="9"/>
      <c r="S520" s="9"/>
      <c r="T520" s="9"/>
      <c r="U520" s="9"/>
      <c r="V520" s="9"/>
      <c r="W520" s="9"/>
      <c r="X520" s="9"/>
      <c r="Y520" s="9"/>
      <c r="Z520" s="9"/>
      <c r="AA520" s="9"/>
      <c r="AB520" s="9"/>
      <c r="AC520" s="9"/>
      <c r="AD520" s="9"/>
    </row>
    <row r="521" spans="1:30" ht="14.25" customHeight="1">
      <c r="A521" s="11"/>
      <c r="B521" s="12"/>
      <c r="C521" s="12"/>
      <c r="D521" s="12"/>
      <c r="E521" s="12"/>
      <c r="F521" s="12"/>
      <c r="G521" s="12"/>
      <c r="H521" s="12"/>
      <c r="I521" s="12"/>
      <c r="J521" s="12"/>
      <c r="K521" s="13"/>
      <c r="L521" s="9"/>
      <c r="M521" s="9"/>
      <c r="N521" s="9"/>
      <c r="O521" s="9"/>
      <c r="P521" s="9"/>
      <c r="Q521" s="9"/>
      <c r="R521" s="9"/>
      <c r="S521" s="9"/>
      <c r="T521" s="9"/>
      <c r="U521" s="9"/>
      <c r="V521" s="9"/>
      <c r="W521" s="9"/>
      <c r="X521" s="9"/>
      <c r="Y521" s="9"/>
      <c r="Z521" s="9"/>
      <c r="AA521" s="9"/>
      <c r="AB521" s="9"/>
      <c r="AC521" s="9"/>
      <c r="AD521" s="9"/>
    </row>
    <row r="522" spans="1:30" ht="14.25" customHeight="1">
      <c r="A522" s="11"/>
      <c r="B522" s="12"/>
      <c r="C522" s="12"/>
      <c r="D522" s="12"/>
      <c r="E522" s="12"/>
      <c r="F522" s="12"/>
      <c r="G522" s="12"/>
      <c r="H522" s="12"/>
      <c r="I522" s="12"/>
      <c r="J522" s="12"/>
      <c r="K522" s="13"/>
      <c r="L522" s="9"/>
      <c r="M522" s="9"/>
      <c r="N522" s="9"/>
      <c r="O522" s="9"/>
      <c r="P522" s="9"/>
      <c r="Q522" s="9"/>
      <c r="R522" s="9"/>
      <c r="S522" s="9"/>
      <c r="T522" s="9"/>
      <c r="U522" s="9"/>
      <c r="V522" s="9"/>
      <c r="W522" s="9"/>
      <c r="X522" s="9"/>
      <c r="Y522" s="9"/>
      <c r="Z522" s="9"/>
      <c r="AA522" s="9"/>
      <c r="AB522" s="9"/>
      <c r="AC522" s="9"/>
      <c r="AD522" s="9"/>
    </row>
    <row r="523" spans="1:30" ht="14.25" customHeight="1">
      <c r="A523" s="11"/>
      <c r="B523" s="12"/>
      <c r="C523" s="12"/>
      <c r="D523" s="12"/>
      <c r="E523" s="12"/>
      <c r="F523" s="12"/>
      <c r="G523" s="12"/>
      <c r="H523" s="12"/>
      <c r="I523" s="12"/>
      <c r="J523" s="12"/>
      <c r="K523" s="13"/>
      <c r="L523" s="9"/>
      <c r="M523" s="9"/>
      <c r="N523" s="9"/>
      <c r="O523" s="9"/>
      <c r="P523" s="9"/>
      <c r="Q523" s="9"/>
      <c r="R523" s="9"/>
      <c r="S523" s="9"/>
      <c r="T523" s="9"/>
      <c r="U523" s="9"/>
      <c r="V523" s="9"/>
      <c r="W523" s="9"/>
      <c r="X523" s="9"/>
      <c r="Y523" s="9"/>
      <c r="Z523" s="9"/>
      <c r="AA523" s="9"/>
      <c r="AB523" s="9"/>
      <c r="AC523" s="9"/>
      <c r="AD523" s="9"/>
    </row>
    <row r="524" spans="1:30" ht="14.25" customHeight="1">
      <c r="A524" s="11"/>
      <c r="B524" s="12"/>
      <c r="C524" s="12"/>
      <c r="D524" s="12"/>
      <c r="E524" s="12"/>
      <c r="F524" s="12"/>
      <c r="G524" s="12"/>
      <c r="H524" s="12"/>
      <c r="I524" s="12"/>
      <c r="J524" s="12"/>
      <c r="K524" s="13"/>
      <c r="L524" s="9"/>
      <c r="M524" s="9"/>
      <c r="N524" s="9"/>
      <c r="O524" s="9"/>
      <c r="P524" s="9"/>
      <c r="Q524" s="9"/>
      <c r="R524" s="9"/>
      <c r="S524" s="9"/>
      <c r="T524" s="9"/>
      <c r="U524" s="9"/>
      <c r="V524" s="9"/>
      <c r="W524" s="9"/>
      <c r="X524" s="9"/>
      <c r="Y524" s="9"/>
      <c r="Z524" s="9"/>
      <c r="AA524" s="9"/>
      <c r="AB524" s="9"/>
      <c r="AC524" s="9"/>
      <c r="AD524" s="9"/>
    </row>
    <row r="525" spans="1:30" ht="14.25" customHeight="1">
      <c r="A525" s="11"/>
      <c r="B525" s="12"/>
      <c r="C525" s="12"/>
      <c r="D525" s="12"/>
      <c r="E525" s="12"/>
      <c r="F525" s="12"/>
      <c r="G525" s="12"/>
      <c r="H525" s="12"/>
      <c r="I525" s="12"/>
      <c r="J525" s="12"/>
      <c r="K525" s="13"/>
      <c r="L525" s="9"/>
      <c r="M525" s="9"/>
      <c r="N525" s="9"/>
      <c r="O525" s="9"/>
      <c r="P525" s="9"/>
      <c r="Q525" s="9"/>
      <c r="R525" s="9"/>
      <c r="S525" s="9"/>
      <c r="T525" s="9"/>
      <c r="U525" s="9"/>
      <c r="V525" s="9"/>
      <c r="W525" s="9"/>
      <c r="X525" s="9"/>
      <c r="Y525" s="9"/>
      <c r="Z525" s="9"/>
      <c r="AA525" s="9"/>
      <c r="AB525" s="9"/>
      <c r="AC525" s="9"/>
      <c r="AD525" s="9"/>
    </row>
    <row r="526" spans="1:30" ht="14.25" customHeight="1">
      <c r="A526" s="11"/>
      <c r="B526" s="12"/>
      <c r="C526" s="12"/>
      <c r="D526" s="12"/>
      <c r="E526" s="12"/>
      <c r="F526" s="12"/>
      <c r="G526" s="12"/>
      <c r="H526" s="12"/>
      <c r="I526" s="12"/>
      <c r="J526" s="12"/>
      <c r="K526" s="13"/>
      <c r="L526" s="9"/>
      <c r="M526" s="9"/>
      <c r="N526" s="9"/>
      <c r="O526" s="9"/>
      <c r="P526" s="9"/>
      <c r="Q526" s="9"/>
      <c r="R526" s="9"/>
      <c r="S526" s="9"/>
      <c r="T526" s="9"/>
      <c r="U526" s="9"/>
      <c r="V526" s="9"/>
      <c r="W526" s="9"/>
      <c r="X526" s="9"/>
      <c r="Y526" s="9"/>
      <c r="Z526" s="9"/>
      <c r="AA526" s="9"/>
      <c r="AB526" s="9"/>
      <c r="AC526" s="9"/>
      <c r="AD526" s="9"/>
    </row>
    <row r="527" spans="1:30" ht="14.25" customHeight="1">
      <c r="A527" s="11"/>
      <c r="B527" s="12"/>
      <c r="C527" s="12"/>
      <c r="D527" s="12"/>
      <c r="E527" s="12"/>
      <c r="F527" s="12"/>
      <c r="G527" s="12"/>
      <c r="H527" s="12"/>
      <c r="I527" s="12"/>
      <c r="J527" s="12"/>
      <c r="K527" s="13"/>
      <c r="L527" s="9"/>
      <c r="M527" s="9"/>
      <c r="N527" s="9"/>
      <c r="O527" s="9"/>
      <c r="P527" s="9"/>
      <c r="Q527" s="9"/>
      <c r="R527" s="9"/>
      <c r="S527" s="9"/>
      <c r="T527" s="9"/>
      <c r="U527" s="9"/>
      <c r="V527" s="9"/>
      <c r="W527" s="9"/>
      <c r="X527" s="9"/>
      <c r="Y527" s="9"/>
      <c r="Z527" s="9"/>
      <c r="AA527" s="9"/>
      <c r="AB527" s="9"/>
      <c r="AC527" s="9"/>
      <c r="AD527" s="9"/>
    </row>
    <row r="528" spans="1:30" ht="14.25" customHeight="1">
      <c r="A528" s="11"/>
      <c r="B528" s="12"/>
      <c r="C528" s="12"/>
      <c r="D528" s="12"/>
      <c r="E528" s="12"/>
      <c r="F528" s="12"/>
      <c r="G528" s="12"/>
      <c r="H528" s="12"/>
      <c r="I528" s="12"/>
      <c r="J528" s="12"/>
      <c r="K528" s="13"/>
      <c r="L528" s="9"/>
      <c r="M528" s="9"/>
      <c r="N528" s="9"/>
      <c r="O528" s="9"/>
      <c r="P528" s="9"/>
      <c r="Q528" s="9"/>
      <c r="R528" s="9"/>
      <c r="S528" s="9"/>
      <c r="T528" s="9"/>
      <c r="U528" s="9"/>
      <c r="V528" s="9"/>
      <c r="W528" s="9"/>
      <c r="X528" s="9"/>
      <c r="Y528" s="9"/>
      <c r="Z528" s="9"/>
      <c r="AA528" s="9"/>
      <c r="AB528" s="9"/>
      <c r="AC528" s="9"/>
      <c r="AD528" s="9"/>
    </row>
    <row r="529" spans="1:30" ht="14.25" customHeight="1">
      <c r="A529" s="11"/>
      <c r="B529" s="12"/>
      <c r="C529" s="12"/>
      <c r="D529" s="12"/>
      <c r="E529" s="12"/>
      <c r="F529" s="12"/>
      <c r="G529" s="12"/>
      <c r="H529" s="12"/>
      <c r="I529" s="12"/>
      <c r="J529" s="12"/>
      <c r="K529" s="13"/>
      <c r="L529" s="9"/>
      <c r="M529" s="9"/>
      <c r="N529" s="9"/>
      <c r="O529" s="9"/>
      <c r="P529" s="9"/>
      <c r="Q529" s="9"/>
      <c r="R529" s="9"/>
      <c r="S529" s="9"/>
      <c r="T529" s="9"/>
      <c r="U529" s="9"/>
      <c r="V529" s="9"/>
      <c r="W529" s="9"/>
      <c r="X529" s="9"/>
      <c r="Y529" s="9"/>
      <c r="Z529" s="9"/>
      <c r="AA529" s="9"/>
      <c r="AB529" s="9"/>
      <c r="AC529" s="9"/>
      <c r="AD529" s="9"/>
    </row>
    <row r="530" spans="1:30" ht="14.25" customHeight="1">
      <c r="A530" s="11"/>
      <c r="B530" s="12"/>
      <c r="C530" s="12"/>
      <c r="D530" s="12"/>
      <c r="E530" s="12"/>
      <c r="F530" s="12"/>
      <c r="G530" s="12"/>
      <c r="H530" s="12"/>
      <c r="I530" s="12"/>
      <c r="J530" s="12"/>
      <c r="K530" s="13"/>
      <c r="L530" s="9"/>
      <c r="M530" s="9"/>
      <c r="N530" s="9"/>
      <c r="O530" s="9"/>
      <c r="P530" s="9"/>
      <c r="Q530" s="9"/>
      <c r="R530" s="9"/>
      <c r="S530" s="9"/>
      <c r="T530" s="9"/>
      <c r="U530" s="9"/>
      <c r="V530" s="9"/>
      <c r="W530" s="9"/>
      <c r="X530" s="9"/>
      <c r="Y530" s="9"/>
      <c r="Z530" s="9"/>
      <c r="AA530" s="9"/>
      <c r="AB530" s="9"/>
      <c r="AC530" s="9"/>
      <c r="AD530" s="9"/>
    </row>
    <row r="531" spans="1:30" ht="14.25" customHeight="1">
      <c r="A531" s="11"/>
      <c r="B531" s="12"/>
      <c r="C531" s="12"/>
      <c r="D531" s="12"/>
      <c r="E531" s="12"/>
      <c r="F531" s="12"/>
      <c r="G531" s="12"/>
      <c r="H531" s="12"/>
      <c r="I531" s="12"/>
      <c r="J531" s="12"/>
      <c r="K531" s="13"/>
      <c r="L531" s="9"/>
      <c r="M531" s="9"/>
      <c r="N531" s="9"/>
      <c r="O531" s="9"/>
      <c r="P531" s="9"/>
      <c r="Q531" s="9"/>
      <c r="R531" s="9"/>
      <c r="S531" s="9"/>
      <c r="T531" s="9"/>
      <c r="U531" s="9"/>
      <c r="V531" s="9"/>
      <c r="W531" s="9"/>
      <c r="X531" s="9"/>
      <c r="Y531" s="9"/>
      <c r="Z531" s="9"/>
      <c r="AA531" s="9"/>
      <c r="AB531" s="9"/>
      <c r="AC531" s="9"/>
      <c r="AD531" s="9"/>
    </row>
    <row r="532" spans="1:30" ht="14.25" customHeight="1">
      <c r="A532" s="11"/>
      <c r="B532" s="12"/>
      <c r="C532" s="12"/>
      <c r="D532" s="12"/>
      <c r="E532" s="12"/>
      <c r="F532" s="12"/>
      <c r="G532" s="12"/>
      <c r="H532" s="12"/>
      <c r="I532" s="12"/>
      <c r="J532" s="12"/>
      <c r="K532" s="13"/>
      <c r="L532" s="9"/>
      <c r="M532" s="9"/>
      <c r="N532" s="9"/>
      <c r="O532" s="9"/>
      <c r="P532" s="9"/>
      <c r="Q532" s="9"/>
      <c r="R532" s="9"/>
      <c r="S532" s="9"/>
      <c r="T532" s="9"/>
      <c r="U532" s="9"/>
      <c r="V532" s="9"/>
      <c r="W532" s="9"/>
      <c r="X532" s="9"/>
      <c r="Y532" s="9"/>
      <c r="Z532" s="9"/>
      <c r="AA532" s="9"/>
      <c r="AB532" s="9"/>
      <c r="AC532" s="9"/>
      <c r="AD532" s="9"/>
    </row>
    <row r="533" spans="1:30" ht="14.25" customHeight="1">
      <c r="A533" s="11"/>
      <c r="B533" s="12"/>
      <c r="C533" s="12"/>
      <c r="D533" s="12"/>
      <c r="E533" s="12"/>
      <c r="F533" s="12"/>
      <c r="G533" s="12"/>
      <c r="H533" s="12"/>
      <c r="I533" s="12"/>
      <c r="J533" s="12"/>
      <c r="K533" s="13"/>
      <c r="L533" s="9"/>
      <c r="M533" s="9"/>
      <c r="N533" s="9"/>
      <c r="O533" s="9"/>
      <c r="P533" s="9"/>
      <c r="Q533" s="9"/>
      <c r="R533" s="9"/>
      <c r="S533" s="9"/>
      <c r="T533" s="9"/>
      <c r="U533" s="9"/>
      <c r="V533" s="9"/>
      <c r="W533" s="9"/>
      <c r="X533" s="9"/>
      <c r="Y533" s="9"/>
      <c r="Z533" s="9"/>
      <c r="AA533" s="9"/>
      <c r="AB533" s="9"/>
      <c r="AC533" s="9"/>
      <c r="AD533" s="9"/>
    </row>
    <row r="534" spans="1:30" ht="14.25" customHeight="1">
      <c r="A534" s="11"/>
      <c r="B534" s="12"/>
      <c r="C534" s="12"/>
      <c r="D534" s="12"/>
      <c r="E534" s="12"/>
      <c r="F534" s="12"/>
      <c r="G534" s="12"/>
      <c r="H534" s="12"/>
      <c r="I534" s="12"/>
      <c r="J534" s="12"/>
      <c r="K534" s="13"/>
      <c r="L534" s="9"/>
      <c r="M534" s="9"/>
      <c r="N534" s="9"/>
      <c r="O534" s="9"/>
      <c r="P534" s="9"/>
      <c r="Q534" s="9"/>
      <c r="R534" s="9"/>
      <c r="S534" s="9"/>
      <c r="T534" s="9"/>
      <c r="U534" s="9"/>
      <c r="V534" s="9"/>
      <c r="W534" s="9"/>
      <c r="X534" s="9"/>
      <c r="Y534" s="9"/>
      <c r="Z534" s="9"/>
      <c r="AA534" s="9"/>
      <c r="AB534" s="9"/>
      <c r="AC534" s="9"/>
      <c r="AD534" s="9"/>
    </row>
    <row r="535" spans="1:30" ht="14.25" customHeight="1">
      <c r="A535" s="11"/>
      <c r="B535" s="12"/>
      <c r="C535" s="12"/>
      <c r="D535" s="12"/>
      <c r="E535" s="12"/>
      <c r="F535" s="12"/>
      <c r="G535" s="12"/>
      <c r="H535" s="12"/>
      <c r="I535" s="12"/>
      <c r="J535" s="12"/>
      <c r="K535" s="13"/>
      <c r="L535" s="9"/>
      <c r="M535" s="9"/>
      <c r="N535" s="9"/>
      <c r="O535" s="9"/>
      <c r="P535" s="9"/>
      <c r="Q535" s="9"/>
      <c r="R535" s="9"/>
      <c r="S535" s="9"/>
      <c r="T535" s="9"/>
      <c r="U535" s="9"/>
      <c r="V535" s="9"/>
      <c r="W535" s="9"/>
      <c r="X535" s="9"/>
      <c r="Y535" s="9"/>
      <c r="Z535" s="9"/>
      <c r="AA535" s="9"/>
      <c r="AB535" s="9"/>
      <c r="AC535" s="9"/>
      <c r="AD535" s="9"/>
    </row>
    <row r="536" spans="1:30" ht="14.25" customHeight="1">
      <c r="A536" s="11"/>
      <c r="B536" s="12"/>
      <c r="C536" s="12"/>
      <c r="D536" s="12"/>
      <c r="E536" s="12"/>
      <c r="F536" s="12"/>
      <c r="G536" s="12"/>
      <c r="H536" s="12"/>
      <c r="I536" s="12"/>
      <c r="J536" s="12"/>
      <c r="K536" s="13"/>
      <c r="L536" s="9"/>
      <c r="M536" s="9"/>
      <c r="N536" s="9"/>
      <c r="O536" s="9"/>
      <c r="P536" s="9"/>
      <c r="Q536" s="9"/>
      <c r="R536" s="9"/>
      <c r="S536" s="9"/>
      <c r="T536" s="9"/>
      <c r="U536" s="9"/>
      <c r="V536" s="9"/>
      <c r="W536" s="9"/>
      <c r="X536" s="9"/>
      <c r="Y536" s="9"/>
      <c r="Z536" s="9"/>
      <c r="AA536" s="9"/>
      <c r="AB536" s="9"/>
      <c r="AC536" s="9"/>
      <c r="AD536" s="9"/>
    </row>
    <row r="537" spans="1:30" ht="14.25" customHeight="1">
      <c r="A537" s="11"/>
      <c r="B537" s="12"/>
      <c r="C537" s="12"/>
      <c r="D537" s="12"/>
      <c r="E537" s="12"/>
      <c r="F537" s="12"/>
      <c r="G537" s="12"/>
      <c r="H537" s="12"/>
      <c r="I537" s="12"/>
      <c r="J537" s="12"/>
      <c r="K537" s="13"/>
      <c r="L537" s="9"/>
      <c r="M537" s="9"/>
      <c r="N537" s="9"/>
      <c r="O537" s="9"/>
      <c r="P537" s="9"/>
      <c r="Q537" s="9"/>
      <c r="R537" s="9"/>
      <c r="S537" s="9"/>
      <c r="T537" s="9"/>
      <c r="U537" s="9"/>
      <c r="V537" s="9"/>
      <c r="W537" s="9"/>
      <c r="X537" s="9"/>
      <c r="Y537" s="9"/>
      <c r="Z537" s="9"/>
      <c r="AA537" s="9"/>
      <c r="AB537" s="9"/>
      <c r="AC537" s="9"/>
      <c r="AD537" s="9"/>
    </row>
    <row r="538" spans="1:30" ht="14.25" customHeight="1">
      <c r="A538" s="11"/>
      <c r="B538" s="12"/>
      <c r="C538" s="12"/>
      <c r="D538" s="12"/>
      <c r="E538" s="12"/>
      <c r="F538" s="12"/>
      <c r="G538" s="12"/>
      <c r="H538" s="12"/>
      <c r="I538" s="12"/>
      <c r="J538" s="12"/>
      <c r="K538" s="13"/>
      <c r="L538" s="9"/>
      <c r="M538" s="9"/>
      <c r="N538" s="9"/>
      <c r="O538" s="9"/>
      <c r="P538" s="9"/>
      <c r="Q538" s="9"/>
      <c r="R538" s="9"/>
      <c r="S538" s="9"/>
      <c r="T538" s="9"/>
      <c r="U538" s="9"/>
      <c r="V538" s="9"/>
      <c r="W538" s="9"/>
      <c r="X538" s="9"/>
      <c r="Y538" s="9"/>
      <c r="Z538" s="9"/>
      <c r="AA538" s="9"/>
      <c r="AB538" s="9"/>
      <c r="AC538" s="9"/>
      <c r="AD538" s="9"/>
    </row>
    <row r="539" spans="1:30" ht="14.25" customHeight="1">
      <c r="A539" s="11"/>
      <c r="B539" s="12"/>
      <c r="C539" s="12"/>
      <c r="D539" s="12"/>
      <c r="E539" s="12"/>
      <c r="F539" s="12"/>
      <c r="G539" s="12"/>
      <c r="H539" s="12"/>
      <c r="I539" s="12"/>
      <c r="J539" s="12"/>
      <c r="K539" s="13"/>
      <c r="L539" s="9"/>
      <c r="M539" s="9"/>
      <c r="N539" s="9"/>
      <c r="O539" s="9"/>
      <c r="P539" s="9"/>
      <c r="Q539" s="9"/>
      <c r="R539" s="9"/>
      <c r="S539" s="9"/>
      <c r="T539" s="9"/>
      <c r="U539" s="9"/>
      <c r="V539" s="9"/>
      <c r="W539" s="9"/>
      <c r="X539" s="9"/>
      <c r="Y539" s="9"/>
      <c r="Z539" s="9"/>
      <c r="AA539" s="9"/>
      <c r="AB539" s="9"/>
      <c r="AC539" s="9"/>
      <c r="AD539" s="9"/>
    </row>
    <row r="540" spans="1:30" ht="14.25" customHeight="1">
      <c r="A540" s="11"/>
      <c r="B540" s="12"/>
      <c r="C540" s="12"/>
      <c r="D540" s="12"/>
      <c r="E540" s="12"/>
      <c r="F540" s="12"/>
      <c r="G540" s="12"/>
      <c r="H540" s="12"/>
      <c r="I540" s="12"/>
      <c r="J540" s="12"/>
      <c r="K540" s="13"/>
      <c r="L540" s="9"/>
      <c r="M540" s="9"/>
      <c r="N540" s="9"/>
      <c r="O540" s="9"/>
      <c r="P540" s="9"/>
      <c r="Q540" s="9"/>
      <c r="R540" s="9"/>
      <c r="S540" s="9"/>
      <c r="T540" s="9"/>
      <c r="U540" s="9"/>
      <c r="V540" s="9"/>
      <c r="W540" s="9"/>
      <c r="X540" s="9"/>
      <c r="Y540" s="9"/>
      <c r="Z540" s="9"/>
      <c r="AA540" s="9"/>
      <c r="AB540" s="9"/>
      <c r="AC540" s="9"/>
      <c r="AD540" s="9"/>
    </row>
    <row r="541" spans="1:30" ht="14.25" customHeight="1">
      <c r="A541" s="11"/>
      <c r="B541" s="12"/>
      <c r="C541" s="12"/>
      <c r="D541" s="12"/>
      <c r="E541" s="12"/>
      <c r="F541" s="12"/>
      <c r="G541" s="12"/>
      <c r="H541" s="12"/>
      <c r="I541" s="12"/>
      <c r="J541" s="12"/>
      <c r="K541" s="13"/>
      <c r="L541" s="9"/>
      <c r="M541" s="9"/>
      <c r="N541" s="9"/>
      <c r="O541" s="9"/>
      <c r="P541" s="9"/>
      <c r="Q541" s="9"/>
      <c r="R541" s="9"/>
      <c r="S541" s="9"/>
      <c r="T541" s="9"/>
      <c r="U541" s="9"/>
      <c r="V541" s="9"/>
      <c r="W541" s="9"/>
      <c r="X541" s="9"/>
      <c r="Y541" s="9"/>
      <c r="Z541" s="9"/>
      <c r="AA541" s="9"/>
      <c r="AB541" s="9"/>
      <c r="AC541" s="9"/>
      <c r="AD541" s="9"/>
    </row>
    <row r="542" spans="1:30" ht="14.25" customHeight="1">
      <c r="A542" s="11"/>
      <c r="B542" s="12"/>
      <c r="C542" s="12"/>
      <c r="D542" s="12"/>
      <c r="E542" s="12"/>
      <c r="F542" s="12"/>
      <c r="G542" s="12"/>
      <c r="H542" s="12"/>
      <c r="I542" s="12"/>
      <c r="J542" s="12"/>
      <c r="K542" s="13"/>
      <c r="L542" s="9"/>
      <c r="M542" s="9"/>
      <c r="N542" s="9"/>
      <c r="O542" s="9"/>
      <c r="P542" s="9"/>
      <c r="Q542" s="9"/>
      <c r="R542" s="9"/>
      <c r="S542" s="9"/>
      <c r="T542" s="9"/>
      <c r="U542" s="9"/>
      <c r="V542" s="9"/>
      <c r="W542" s="9"/>
      <c r="X542" s="9"/>
      <c r="Y542" s="9"/>
      <c r="Z542" s="9"/>
      <c r="AA542" s="9"/>
      <c r="AB542" s="9"/>
      <c r="AC542" s="9"/>
      <c r="AD542" s="9"/>
    </row>
    <row r="543" spans="1:30" ht="14.25" customHeight="1">
      <c r="A543" s="11"/>
      <c r="B543" s="12"/>
      <c r="C543" s="12"/>
      <c r="D543" s="12"/>
      <c r="E543" s="12"/>
      <c r="F543" s="12"/>
      <c r="G543" s="12"/>
      <c r="H543" s="12"/>
      <c r="I543" s="12"/>
      <c r="J543" s="12"/>
      <c r="K543" s="13"/>
      <c r="L543" s="9"/>
      <c r="M543" s="9"/>
      <c r="N543" s="9"/>
      <c r="O543" s="9"/>
      <c r="P543" s="9"/>
      <c r="Q543" s="9"/>
      <c r="R543" s="9"/>
      <c r="S543" s="9"/>
      <c r="T543" s="9"/>
      <c r="U543" s="9"/>
      <c r="V543" s="9"/>
      <c r="W543" s="9"/>
      <c r="X543" s="9"/>
      <c r="Y543" s="9"/>
      <c r="Z543" s="9"/>
      <c r="AA543" s="9"/>
      <c r="AB543" s="9"/>
      <c r="AC543" s="9"/>
      <c r="AD543" s="9"/>
    </row>
    <row r="544" spans="1:30" ht="14.25" customHeight="1">
      <c r="A544" s="11"/>
      <c r="B544" s="12"/>
      <c r="C544" s="12"/>
      <c r="D544" s="12"/>
      <c r="E544" s="12"/>
      <c r="F544" s="12"/>
      <c r="G544" s="12"/>
      <c r="H544" s="12"/>
      <c r="I544" s="12"/>
      <c r="J544" s="12"/>
      <c r="K544" s="13"/>
      <c r="L544" s="9"/>
      <c r="M544" s="9"/>
      <c r="N544" s="9"/>
      <c r="O544" s="9"/>
      <c r="P544" s="9"/>
      <c r="Q544" s="9"/>
      <c r="R544" s="9"/>
      <c r="S544" s="9"/>
      <c r="T544" s="9"/>
      <c r="U544" s="9"/>
      <c r="V544" s="9"/>
      <c r="W544" s="9"/>
      <c r="X544" s="9"/>
      <c r="Y544" s="9"/>
      <c r="Z544" s="9"/>
      <c r="AA544" s="9"/>
      <c r="AB544" s="9"/>
      <c r="AC544" s="9"/>
      <c r="AD544" s="9"/>
    </row>
    <row r="545" spans="1:30" ht="14.25" customHeight="1">
      <c r="A545" s="11"/>
      <c r="B545" s="12"/>
      <c r="C545" s="12"/>
      <c r="D545" s="12"/>
      <c r="E545" s="12"/>
      <c r="F545" s="12"/>
      <c r="G545" s="12"/>
      <c r="H545" s="12"/>
      <c r="I545" s="12"/>
      <c r="J545" s="12"/>
      <c r="K545" s="13"/>
      <c r="L545" s="9"/>
      <c r="M545" s="9"/>
      <c r="N545" s="9"/>
      <c r="O545" s="9"/>
      <c r="P545" s="9"/>
      <c r="Q545" s="9"/>
      <c r="R545" s="9"/>
      <c r="S545" s="9"/>
      <c r="T545" s="9"/>
      <c r="U545" s="9"/>
      <c r="V545" s="9"/>
      <c r="W545" s="9"/>
      <c r="X545" s="9"/>
      <c r="Y545" s="9"/>
      <c r="Z545" s="9"/>
      <c r="AA545" s="9"/>
      <c r="AB545" s="9"/>
      <c r="AC545" s="9"/>
      <c r="AD545" s="9"/>
    </row>
    <row r="546" spans="1:30" ht="14.25" customHeight="1">
      <c r="A546" s="11"/>
      <c r="B546" s="12"/>
      <c r="C546" s="12"/>
      <c r="D546" s="12"/>
      <c r="E546" s="12"/>
      <c r="F546" s="12"/>
      <c r="G546" s="12"/>
      <c r="H546" s="12"/>
      <c r="I546" s="12"/>
      <c r="J546" s="12"/>
      <c r="K546" s="13"/>
      <c r="L546" s="9"/>
      <c r="M546" s="9"/>
      <c r="N546" s="9"/>
      <c r="O546" s="9"/>
      <c r="P546" s="9"/>
      <c r="Q546" s="9"/>
      <c r="R546" s="9"/>
      <c r="S546" s="9"/>
      <c r="T546" s="9"/>
      <c r="U546" s="9"/>
      <c r="V546" s="9"/>
      <c r="W546" s="9"/>
      <c r="X546" s="9"/>
      <c r="Y546" s="9"/>
      <c r="Z546" s="9"/>
      <c r="AA546" s="9"/>
      <c r="AB546" s="9"/>
      <c r="AC546" s="9"/>
      <c r="AD546" s="9"/>
    </row>
    <row r="547" spans="1:30" ht="14.25" customHeight="1">
      <c r="A547" s="11"/>
      <c r="B547" s="12"/>
      <c r="C547" s="12"/>
      <c r="D547" s="12"/>
      <c r="E547" s="12"/>
      <c r="F547" s="12"/>
      <c r="G547" s="12"/>
      <c r="H547" s="12"/>
      <c r="I547" s="12"/>
      <c r="J547" s="12"/>
      <c r="K547" s="13"/>
      <c r="L547" s="9"/>
      <c r="M547" s="9"/>
      <c r="N547" s="9"/>
      <c r="O547" s="9"/>
      <c r="P547" s="9"/>
      <c r="Q547" s="9"/>
      <c r="R547" s="9"/>
      <c r="S547" s="9"/>
      <c r="T547" s="9"/>
      <c r="U547" s="9"/>
      <c r="V547" s="9"/>
      <c r="W547" s="9"/>
      <c r="X547" s="9"/>
      <c r="Y547" s="9"/>
      <c r="Z547" s="9"/>
      <c r="AA547" s="9"/>
      <c r="AB547" s="9"/>
      <c r="AC547" s="9"/>
      <c r="AD547" s="9"/>
    </row>
    <row r="548" spans="1:30" ht="14.25" customHeight="1">
      <c r="A548" s="11"/>
      <c r="B548" s="12"/>
      <c r="C548" s="12"/>
      <c r="D548" s="12"/>
      <c r="E548" s="12"/>
      <c r="F548" s="12"/>
      <c r="G548" s="12"/>
      <c r="H548" s="12"/>
      <c r="I548" s="12"/>
      <c r="J548" s="12"/>
      <c r="K548" s="13"/>
      <c r="L548" s="9"/>
      <c r="M548" s="9"/>
      <c r="N548" s="9"/>
      <c r="O548" s="9"/>
      <c r="P548" s="9"/>
      <c r="Q548" s="9"/>
      <c r="R548" s="9"/>
      <c r="S548" s="9"/>
      <c r="T548" s="9"/>
      <c r="U548" s="9"/>
      <c r="V548" s="9"/>
      <c r="W548" s="9"/>
      <c r="X548" s="9"/>
      <c r="Y548" s="9"/>
      <c r="Z548" s="9"/>
      <c r="AA548" s="9"/>
      <c r="AB548" s="9"/>
      <c r="AC548" s="9"/>
      <c r="AD548" s="9"/>
    </row>
    <row r="549" spans="1:30" ht="14.25" customHeight="1">
      <c r="A549" s="11"/>
      <c r="B549" s="12"/>
      <c r="C549" s="12"/>
      <c r="D549" s="12"/>
      <c r="E549" s="12"/>
      <c r="F549" s="12"/>
      <c r="G549" s="12"/>
      <c r="H549" s="12"/>
      <c r="I549" s="12"/>
      <c r="J549" s="12"/>
      <c r="K549" s="13"/>
      <c r="L549" s="9"/>
      <c r="M549" s="9"/>
      <c r="N549" s="9"/>
      <c r="O549" s="9"/>
      <c r="P549" s="9"/>
      <c r="Q549" s="9"/>
      <c r="R549" s="9"/>
      <c r="S549" s="9"/>
      <c r="T549" s="9"/>
      <c r="U549" s="9"/>
      <c r="V549" s="9"/>
      <c r="W549" s="9"/>
      <c r="X549" s="9"/>
      <c r="Y549" s="9"/>
      <c r="Z549" s="9"/>
      <c r="AA549" s="9"/>
      <c r="AB549" s="9"/>
      <c r="AC549" s="9"/>
      <c r="AD549" s="9"/>
    </row>
    <row r="550" spans="1:30" ht="14.25" customHeight="1">
      <c r="A550" s="11"/>
      <c r="B550" s="12"/>
      <c r="C550" s="12"/>
      <c r="D550" s="12"/>
      <c r="E550" s="12"/>
      <c r="F550" s="12"/>
      <c r="G550" s="12"/>
      <c r="H550" s="12"/>
      <c r="I550" s="12"/>
      <c r="J550" s="12"/>
      <c r="K550" s="13"/>
      <c r="L550" s="9"/>
      <c r="M550" s="9"/>
      <c r="N550" s="9"/>
      <c r="O550" s="9"/>
      <c r="P550" s="9"/>
      <c r="Q550" s="9"/>
      <c r="R550" s="9"/>
      <c r="S550" s="9"/>
      <c r="T550" s="9"/>
      <c r="U550" s="9"/>
      <c r="V550" s="9"/>
      <c r="W550" s="9"/>
      <c r="X550" s="9"/>
      <c r="Y550" s="9"/>
      <c r="Z550" s="9"/>
      <c r="AA550" s="9"/>
      <c r="AB550" s="9"/>
      <c r="AC550" s="9"/>
      <c r="AD550" s="9"/>
    </row>
    <row r="551" spans="1:30" ht="14.25" customHeight="1">
      <c r="A551" s="11"/>
      <c r="B551" s="12"/>
      <c r="C551" s="12"/>
      <c r="D551" s="12"/>
      <c r="E551" s="12"/>
      <c r="F551" s="12"/>
      <c r="G551" s="12"/>
      <c r="H551" s="12"/>
      <c r="I551" s="12"/>
      <c r="J551" s="12"/>
      <c r="K551" s="13"/>
      <c r="L551" s="9"/>
      <c r="M551" s="9"/>
      <c r="N551" s="9"/>
      <c r="O551" s="9"/>
      <c r="P551" s="9"/>
      <c r="Q551" s="9"/>
      <c r="R551" s="9"/>
      <c r="S551" s="9"/>
      <c r="T551" s="9"/>
      <c r="U551" s="9"/>
      <c r="V551" s="9"/>
      <c r="W551" s="9"/>
      <c r="X551" s="9"/>
      <c r="Y551" s="9"/>
      <c r="Z551" s="9"/>
      <c r="AA551" s="9"/>
      <c r="AB551" s="9"/>
      <c r="AC551" s="9"/>
      <c r="AD551" s="9"/>
    </row>
    <row r="552" spans="1:30" ht="14.25" customHeight="1">
      <c r="A552" s="11"/>
      <c r="B552" s="12"/>
      <c r="C552" s="12"/>
      <c r="D552" s="12"/>
      <c r="E552" s="12"/>
      <c r="F552" s="12"/>
      <c r="G552" s="12"/>
      <c r="H552" s="12"/>
      <c r="I552" s="12"/>
      <c r="J552" s="12"/>
      <c r="K552" s="13"/>
      <c r="L552" s="9"/>
      <c r="M552" s="9"/>
      <c r="N552" s="9"/>
      <c r="O552" s="9"/>
      <c r="P552" s="9"/>
      <c r="Q552" s="9"/>
      <c r="R552" s="9"/>
      <c r="S552" s="9"/>
      <c r="T552" s="9"/>
      <c r="U552" s="9"/>
      <c r="V552" s="9"/>
      <c r="W552" s="9"/>
      <c r="X552" s="9"/>
      <c r="Y552" s="9"/>
      <c r="Z552" s="9"/>
      <c r="AA552" s="9"/>
      <c r="AB552" s="9"/>
      <c r="AC552" s="9"/>
      <c r="AD552" s="9"/>
    </row>
    <row r="553" spans="1:30" ht="14.25" customHeight="1">
      <c r="A553" s="11"/>
      <c r="B553" s="12"/>
      <c r="C553" s="12"/>
      <c r="D553" s="12"/>
      <c r="E553" s="12"/>
      <c r="F553" s="12"/>
      <c r="G553" s="12"/>
      <c r="H553" s="12"/>
      <c r="I553" s="12"/>
      <c r="J553" s="12"/>
      <c r="K553" s="13"/>
      <c r="L553" s="9"/>
      <c r="M553" s="9"/>
      <c r="N553" s="9"/>
      <c r="O553" s="9"/>
      <c r="P553" s="9"/>
      <c r="Q553" s="9"/>
      <c r="R553" s="9"/>
      <c r="S553" s="9"/>
      <c r="T553" s="9"/>
      <c r="U553" s="9"/>
      <c r="V553" s="9"/>
      <c r="W553" s="9"/>
      <c r="X553" s="9"/>
      <c r="Y553" s="9"/>
      <c r="Z553" s="9"/>
      <c r="AA553" s="9"/>
      <c r="AB553" s="9"/>
      <c r="AC553" s="9"/>
      <c r="AD553" s="9"/>
    </row>
    <row r="554" spans="1:30" ht="14.25" customHeight="1">
      <c r="A554" s="11"/>
      <c r="B554" s="12"/>
      <c r="C554" s="12"/>
      <c r="D554" s="12"/>
      <c r="E554" s="12"/>
      <c r="F554" s="12"/>
      <c r="G554" s="12"/>
      <c r="H554" s="12"/>
      <c r="I554" s="12"/>
      <c r="J554" s="12"/>
      <c r="K554" s="13"/>
      <c r="L554" s="9"/>
      <c r="M554" s="9"/>
      <c r="N554" s="9"/>
      <c r="O554" s="9"/>
      <c r="P554" s="9"/>
      <c r="Q554" s="9"/>
      <c r="R554" s="9"/>
      <c r="S554" s="9"/>
      <c r="T554" s="9"/>
      <c r="U554" s="9"/>
      <c r="V554" s="9"/>
      <c r="W554" s="9"/>
      <c r="X554" s="9"/>
      <c r="Y554" s="9"/>
      <c r="Z554" s="9"/>
      <c r="AA554" s="9"/>
      <c r="AB554" s="9"/>
      <c r="AC554" s="9"/>
      <c r="AD554" s="9"/>
    </row>
    <row r="555" spans="1:30" ht="14.25" customHeight="1">
      <c r="A555" s="11"/>
      <c r="B555" s="12"/>
      <c r="C555" s="12"/>
      <c r="D555" s="12"/>
      <c r="E555" s="12"/>
      <c r="F555" s="12"/>
      <c r="G555" s="12"/>
      <c r="H555" s="12"/>
      <c r="I555" s="12"/>
      <c r="J555" s="12"/>
      <c r="K555" s="13"/>
      <c r="L555" s="9"/>
      <c r="M555" s="9"/>
      <c r="N555" s="9"/>
      <c r="O555" s="9"/>
      <c r="P555" s="9"/>
      <c r="Q555" s="9"/>
      <c r="R555" s="9"/>
      <c r="S555" s="9"/>
      <c r="T555" s="9"/>
      <c r="U555" s="9"/>
      <c r="V555" s="9"/>
      <c r="W555" s="9"/>
      <c r="X555" s="9"/>
      <c r="Y555" s="9"/>
      <c r="Z555" s="9"/>
      <c r="AA555" s="9"/>
      <c r="AB555" s="9"/>
      <c r="AC555" s="9"/>
      <c r="AD555" s="9"/>
    </row>
    <row r="556" spans="1:30" ht="14.25" customHeight="1">
      <c r="A556" s="11"/>
      <c r="B556" s="12"/>
      <c r="C556" s="12"/>
      <c r="D556" s="12"/>
      <c r="E556" s="12"/>
      <c r="F556" s="12"/>
      <c r="G556" s="12"/>
      <c r="H556" s="12"/>
      <c r="I556" s="12"/>
      <c r="J556" s="12"/>
      <c r="K556" s="13"/>
      <c r="L556" s="9"/>
      <c r="M556" s="9"/>
      <c r="N556" s="9"/>
      <c r="O556" s="9"/>
      <c r="P556" s="9"/>
      <c r="Q556" s="9"/>
      <c r="R556" s="9"/>
      <c r="S556" s="9"/>
      <c r="T556" s="9"/>
      <c r="U556" s="9"/>
      <c r="V556" s="9"/>
      <c r="W556" s="9"/>
      <c r="X556" s="9"/>
      <c r="Y556" s="9"/>
      <c r="Z556" s="9"/>
      <c r="AA556" s="9"/>
      <c r="AB556" s="9"/>
      <c r="AC556" s="9"/>
      <c r="AD556" s="9"/>
    </row>
    <row r="557" spans="1:30" ht="14.25" customHeight="1">
      <c r="A557" s="11"/>
      <c r="B557" s="12"/>
      <c r="C557" s="12"/>
      <c r="D557" s="12"/>
      <c r="E557" s="12"/>
      <c r="F557" s="12"/>
      <c r="G557" s="12"/>
      <c r="H557" s="12"/>
      <c r="I557" s="12"/>
      <c r="J557" s="12"/>
      <c r="K557" s="13"/>
      <c r="L557" s="9"/>
      <c r="M557" s="9"/>
      <c r="N557" s="9"/>
      <c r="O557" s="9"/>
      <c r="P557" s="9"/>
      <c r="Q557" s="9"/>
      <c r="R557" s="9"/>
      <c r="S557" s="9"/>
      <c r="T557" s="9"/>
      <c r="U557" s="9"/>
      <c r="V557" s="9"/>
      <c r="W557" s="9"/>
      <c r="X557" s="9"/>
      <c r="Y557" s="9"/>
      <c r="Z557" s="9"/>
      <c r="AA557" s="9"/>
      <c r="AB557" s="9"/>
      <c r="AC557" s="9"/>
      <c r="AD557" s="9"/>
    </row>
    <row r="558" spans="1:30" ht="14.25" customHeight="1">
      <c r="A558" s="11"/>
      <c r="B558" s="12"/>
      <c r="C558" s="12"/>
      <c r="D558" s="12"/>
      <c r="E558" s="12"/>
      <c r="F558" s="12"/>
      <c r="G558" s="12"/>
      <c r="H558" s="12"/>
      <c r="I558" s="12"/>
      <c r="J558" s="12"/>
      <c r="K558" s="13"/>
      <c r="L558" s="9"/>
      <c r="M558" s="9"/>
      <c r="N558" s="9"/>
      <c r="O558" s="9"/>
      <c r="P558" s="9"/>
      <c r="Q558" s="9"/>
      <c r="R558" s="9"/>
      <c r="S558" s="9"/>
      <c r="T558" s="9"/>
      <c r="U558" s="9"/>
      <c r="V558" s="9"/>
      <c r="W558" s="9"/>
      <c r="X558" s="9"/>
      <c r="Y558" s="9"/>
      <c r="Z558" s="9"/>
      <c r="AA558" s="9"/>
      <c r="AB558" s="9"/>
      <c r="AC558" s="9"/>
      <c r="AD558" s="9"/>
    </row>
    <row r="559" spans="1:30" ht="14.25" customHeight="1">
      <c r="A559" s="11"/>
      <c r="B559" s="12"/>
      <c r="C559" s="12"/>
      <c r="D559" s="12"/>
      <c r="E559" s="12"/>
      <c r="F559" s="12"/>
      <c r="G559" s="12"/>
      <c r="H559" s="12"/>
      <c r="I559" s="12"/>
      <c r="J559" s="12"/>
      <c r="K559" s="13"/>
      <c r="L559" s="9"/>
      <c r="M559" s="9"/>
      <c r="N559" s="9"/>
      <c r="O559" s="9"/>
      <c r="P559" s="9"/>
      <c r="Q559" s="9"/>
      <c r="R559" s="9"/>
      <c r="S559" s="9"/>
      <c r="T559" s="9"/>
      <c r="U559" s="9"/>
      <c r="V559" s="9"/>
      <c r="W559" s="9"/>
      <c r="X559" s="9"/>
      <c r="Y559" s="9"/>
      <c r="Z559" s="9"/>
      <c r="AA559" s="9"/>
      <c r="AB559" s="9"/>
      <c r="AC559" s="9"/>
      <c r="AD559" s="9"/>
    </row>
    <row r="560" spans="1:30" ht="14.25" customHeight="1">
      <c r="A560" s="11"/>
      <c r="B560" s="12"/>
      <c r="C560" s="12"/>
      <c r="D560" s="12"/>
      <c r="E560" s="12"/>
      <c r="F560" s="12"/>
      <c r="G560" s="12"/>
      <c r="H560" s="12"/>
      <c r="I560" s="12"/>
      <c r="J560" s="12"/>
      <c r="K560" s="13"/>
      <c r="L560" s="9"/>
      <c r="M560" s="9"/>
      <c r="N560" s="9"/>
      <c r="O560" s="9"/>
      <c r="P560" s="9"/>
      <c r="Q560" s="9"/>
      <c r="R560" s="9"/>
      <c r="S560" s="9"/>
      <c r="T560" s="9"/>
      <c r="U560" s="9"/>
      <c r="V560" s="9"/>
      <c r="W560" s="9"/>
      <c r="X560" s="9"/>
      <c r="Y560" s="9"/>
      <c r="Z560" s="9"/>
      <c r="AA560" s="9"/>
      <c r="AB560" s="9"/>
      <c r="AC560" s="9"/>
      <c r="AD560" s="9"/>
    </row>
    <row r="561" spans="1:30" ht="14.25" customHeight="1">
      <c r="A561" s="11"/>
      <c r="B561" s="12"/>
      <c r="C561" s="12"/>
      <c r="D561" s="12"/>
      <c r="E561" s="12"/>
      <c r="F561" s="12"/>
      <c r="G561" s="12"/>
      <c r="H561" s="12"/>
      <c r="I561" s="12"/>
      <c r="J561" s="12"/>
      <c r="K561" s="13"/>
      <c r="L561" s="9"/>
      <c r="M561" s="9"/>
      <c r="N561" s="9"/>
      <c r="O561" s="9"/>
      <c r="P561" s="9"/>
      <c r="Q561" s="9"/>
      <c r="R561" s="9"/>
      <c r="S561" s="9"/>
      <c r="T561" s="9"/>
      <c r="U561" s="9"/>
      <c r="V561" s="9"/>
      <c r="W561" s="9"/>
      <c r="X561" s="9"/>
      <c r="Y561" s="9"/>
      <c r="Z561" s="9"/>
      <c r="AA561" s="9"/>
      <c r="AB561" s="9"/>
      <c r="AC561" s="9"/>
      <c r="AD561" s="9"/>
    </row>
    <row r="562" spans="1:30" ht="14.25" customHeight="1">
      <c r="A562" s="11"/>
      <c r="B562" s="12"/>
      <c r="C562" s="12"/>
      <c r="D562" s="12"/>
      <c r="E562" s="12"/>
      <c r="F562" s="12"/>
      <c r="G562" s="12"/>
      <c r="H562" s="12"/>
      <c r="I562" s="12"/>
      <c r="J562" s="12"/>
      <c r="K562" s="13"/>
      <c r="L562" s="9"/>
      <c r="M562" s="9"/>
      <c r="N562" s="9"/>
      <c r="O562" s="9"/>
      <c r="P562" s="9"/>
      <c r="Q562" s="9"/>
      <c r="R562" s="9"/>
      <c r="S562" s="9"/>
      <c r="T562" s="9"/>
      <c r="U562" s="9"/>
      <c r="V562" s="9"/>
      <c r="W562" s="9"/>
      <c r="X562" s="9"/>
      <c r="Y562" s="9"/>
      <c r="Z562" s="9"/>
      <c r="AA562" s="9"/>
      <c r="AB562" s="9"/>
      <c r="AC562" s="9"/>
      <c r="AD562" s="9"/>
    </row>
    <row r="563" spans="1:30" ht="14.25" customHeight="1">
      <c r="A563" s="11"/>
      <c r="B563" s="12"/>
      <c r="C563" s="12"/>
      <c r="D563" s="12"/>
      <c r="E563" s="12"/>
      <c r="F563" s="12"/>
      <c r="G563" s="12"/>
      <c r="H563" s="12"/>
      <c r="I563" s="12"/>
      <c r="J563" s="12"/>
      <c r="K563" s="13"/>
      <c r="L563" s="9"/>
      <c r="M563" s="9"/>
      <c r="N563" s="9"/>
      <c r="O563" s="9"/>
      <c r="P563" s="9"/>
      <c r="Q563" s="9"/>
      <c r="R563" s="9"/>
      <c r="S563" s="9"/>
      <c r="T563" s="9"/>
      <c r="U563" s="9"/>
      <c r="V563" s="9"/>
      <c r="W563" s="9"/>
      <c r="X563" s="9"/>
      <c r="Y563" s="9"/>
      <c r="Z563" s="9"/>
      <c r="AA563" s="9"/>
      <c r="AB563" s="9"/>
      <c r="AC563" s="9"/>
      <c r="AD563" s="9"/>
    </row>
    <row r="564" spans="1:30" ht="14.25" customHeight="1">
      <c r="A564" s="11"/>
      <c r="B564" s="12"/>
      <c r="C564" s="12"/>
      <c r="D564" s="12"/>
      <c r="E564" s="12"/>
      <c r="F564" s="12"/>
      <c r="G564" s="12"/>
      <c r="H564" s="12"/>
      <c r="I564" s="12"/>
      <c r="J564" s="12"/>
      <c r="K564" s="13"/>
      <c r="L564" s="9"/>
      <c r="M564" s="9"/>
      <c r="N564" s="9"/>
      <c r="O564" s="9"/>
      <c r="P564" s="9"/>
      <c r="Q564" s="9"/>
      <c r="R564" s="9"/>
      <c r="S564" s="9"/>
      <c r="T564" s="9"/>
      <c r="U564" s="9"/>
      <c r="V564" s="9"/>
      <c r="W564" s="9"/>
      <c r="X564" s="9"/>
      <c r="Y564" s="9"/>
      <c r="Z564" s="9"/>
      <c r="AA564" s="9"/>
      <c r="AB564" s="9"/>
      <c r="AC564" s="9"/>
      <c r="AD564" s="9"/>
    </row>
    <row r="565" spans="1:30" ht="14.25" customHeight="1">
      <c r="A565" s="11"/>
      <c r="B565" s="12"/>
      <c r="C565" s="12"/>
      <c r="D565" s="12"/>
      <c r="E565" s="12"/>
      <c r="F565" s="12"/>
      <c r="G565" s="12"/>
      <c r="H565" s="12"/>
      <c r="I565" s="12"/>
      <c r="J565" s="12"/>
      <c r="K565" s="13"/>
      <c r="L565" s="9"/>
      <c r="M565" s="9"/>
      <c r="N565" s="9"/>
      <c r="O565" s="9"/>
      <c r="P565" s="9"/>
      <c r="Q565" s="9"/>
      <c r="R565" s="9"/>
      <c r="S565" s="9"/>
      <c r="T565" s="9"/>
      <c r="U565" s="9"/>
      <c r="V565" s="9"/>
      <c r="W565" s="9"/>
      <c r="X565" s="9"/>
      <c r="Y565" s="9"/>
      <c r="Z565" s="9"/>
      <c r="AA565" s="9"/>
      <c r="AB565" s="9"/>
      <c r="AC565" s="9"/>
      <c r="AD565" s="9"/>
    </row>
    <row r="566" spans="1:30" ht="14.25" customHeight="1">
      <c r="A566" s="11"/>
      <c r="B566" s="12"/>
      <c r="C566" s="12"/>
      <c r="D566" s="12"/>
      <c r="E566" s="12"/>
      <c r="F566" s="12"/>
      <c r="G566" s="12"/>
      <c r="H566" s="12"/>
      <c r="I566" s="12"/>
      <c r="J566" s="12"/>
      <c r="K566" s="13"/>
      <c r="L566" s="9"/>
      <c r="M566" s="9"/>
      <c r="N566" s="9"/>
      <c r="O566" s="9"/>
      <c r="P566" s="9"/>
      <c r="Q566" s="9"/>
      <c r="R566" s="9"/>
      <c r="S566" s="9"/>
      <c r="T566" s="9"/>
      <c r="U566" s="9"/>
      <c r="V566" s="9"/>
      <c r="W566" s="9"/>
      <c r="X566" s="9"/>
      <c r="Y566" s="9"/>
      <c r="Z566" s="9"/>
      <c r="AA566" s="9"/>
      <c r="AB566" s="9"/>
      <c r="AC566" s="9"/>
      <c r="AD566" s="9"/>
    </row>
    <row r="567" spans="1:30" ht="14.25" customHeight="1">
      <c r="A567" s="11"/>
      <c r="B567" s="12"/>
      <c r="C567" s="12"/>
      <c r="D567" s="12"/>
      <c r="E567" s="12"/>
      <c r="F567" s="12"/>
      <c r="G567" s="12"/>
      <c r="H567" s="12"/>
      <c r="I567" s="12"/>
      <c r="J567" s="12"/>
      <c r="K567" s="13"/>
      <c r="L567" s="9"/>
      <c r="M567" s="9"/>
      <c r="N567" s="9"/>
      <c r="O567" s="9"/>
      <c r="P567" s="9"/>
      <c r="Q567" s="9"/>
      <c r="R567" s="9"/>
      <c r="S567" s="9"/>
      <c r="T567" s="9"/>
      <c r="U567" s="9"/>
      <c r="V567" s="9"/>
      <c r="W567" s="9"/>
      <c r="X567" s="9"/>
      <c r="Y567" s="9"/>
      <c r="Z567" s="9"/>
      <c r="AA567" s="9"/>
      <c r="AB567" s="9"/>
      <c r="AC567" s="9"/>
      <c r="AD567" s="9"/>
    </row>
    <row r="568" spans="1:30" ht="14.25" customHeight="1">
      <c r="A568" s="11"/>
      <c r="B568" s="12"/>
      <c r="C568" s="12"/>
      <c r="D568" s="12"/>
      <c r="E568" s="12"/>
      <c r="F568" s="12"/>
      <c r="G568" s="12"/>
      <c r="H568" s="12"/>
      <c r="I568" s="12"/>
      <c r="J568" s="12"/>
      <c r="K568" s="13"/>
      <c r="L568" s="9"/>
      <c r="M568" s="9"/>
      <c r="N568" s="9"/>
      <c r="O568" s="9"/>
      <c r="P568" s="9"/>
      <c r="Q568" s="9"/>
      <c r="R568" s="9"/>
      <c r="S568" s="9"/>
      <c r="T568" s="9"/>
      <c r="U568" s="9"/>
      <c r="V568" s="9"/>
      <c r="W568" s="9"/>
      <c r="X568" s="9"/>
      <c r="Y568" s="9"/>
      <c r="Z568" s="9"/>
      <c r="AA568" s="9"/>
      <c r="AB568" s="9"/>
      <c r="AC568" s="9"/>
      <c r="AD568" s="9"/>
    </row>
    <row r="569" spans="1:30" ht="14.25" customHeight="1">
      <c r="A569" s="11"/>
      <c r="B569" s="12"/>
      <c r="C569" s="12"/>
      <c r="D569" s="12"/>
      <c r="E569" s="12"/>
      <c r="F569" s="12"/>
      <c r="G569" s="12"/>
      <c r="H569" s="12"/>
      <c r="I569" s="12"/>
      <c r="J569" s="12"/>
      <c r="K569" s="13"/>
      <c r="L569" s="9"/>
      <c r="M569" s="9"/>
      <c r="N569" s="9"/>
      <c r="O569" s="9"/>
      <c r="P569" s="9"/>
      <c r="Q569" s="9"/>
      <c r="R569" s="9"/>
      <c r="S569" s="9"/>
      <c r="T569" s="9"/>
      <c r="U569" s="9"/>
      <c r="V569" s="9"/>
      <c r="W569" s="9"/>
      <c r="X569" s="9"/>
      <c r="Y569" s="9"/>
      <c r="Z569" s="9"/>
      <c r="AA569" s="9"/>
      <c r="AB569" s="9"/>
      <c r="AC569" s="9"/>
      <c r="AD569" s="9"/>
    </row>
    <row r="570" spans="1:30" ht="14.25" customHeight="1">
      <c r="A570" s="11"/>
      <c r="B570" s="12"/>
      <c r="C570" s="12"/>
      <c r="D570" s="12"/>
      <c r="E570" s="12"/>
      <c r="F570" s="12"/>
      <c r="G570" s="12"/>
      <c r="H570" s="12"/>
      <c r="I570" s="12"/>
      <c r="J570" s="12"/>
      <c r="K570" s="13"/>
      <c r="L570" s="9"/>
      <c r="M570" s="9"/>
      <c r="N570" s="9"/>
      <c r="O570" s="9"/>
      <c r="P570" s="9"/>
      <c r="Q570" s="9"/>
      <c r="R570" s="9"/>
      <c r="S570" s="9"/>
      <c r="T570" s="9"/>
      <c r="U570" s="9"/>
      <c r="V570" s="9"/>
      <c r="W570" s="9"/>
      <c r="X570" s="9"/>
      <c r="Y570" s="9"/>
      <c r="Z570" s="9"/>
      <c r="AA570" s="9"/>
      <c r="AB570" s="9"/>
      <c r="AC570" s="9"/>
      <c r="AD570" s="9"/>
    </row>
    <row r="571" spans="1:30" ht="14.25" customHeight="1">
      <c r="A571" s="11"/>
      <c r="B571" s="12"/>
      <c r="C571" s="12"/>
      <c r="D571" s="12"/>
      <c r="E571" s="12"/>
      <c r="F571" s="12"/>
      <c r="G571" s="12"/>
      <c r="H571" s="12"/>
      <c r="I571" s="12"/>
      <c r="J571" s="12"/>
      <c r="K571" s="13"/>
      <c r="L571" s="9"/>
      <c r="M571" s="9"/>
      <c r="N571" s="9"/>
      <c r="O571" s="9"/>
      <c r="P571" s="9"/>
      <c r="Q571" s="9"/>
      <c r="R571" s="9"/>
      <c r="S571" s="9"/>
      <c r="T571" s="9"/>
      <c r="U571" s="9"/>
      <c r="V571" s="9"/>
      <c r="W571" s="9"/>
      <c r="X571" s="9"/>
      <c r="Y571" s="9"/>
      <c r="Z571" s="9"/>
      <c r="AA571" s="9"/>
      <c r="AB571" s="9"/>
      <c r="AC571" s="9"/>
      <c r="AD571" s="9"/>
    </row>
    <row r="572" spans="1:30" ht="14.25" customHeight="1">
      <c r="A572" s="11"/>
      <c r="B572" s="12"/>
      <c r="C572" s="12"/>
      <c r="D572" s="12"/>
      <c r="E572" s="12"/>
      <c r="F572" s="12"/>
      <c r="G572" s="12"/>
      <c r="H572" s="12"/>
      <c r="I572" s="12"/>
      <c r="J572" s="12"/>
      <c r="K572" s="13"/>
      <c r="L572" s="9"/>
      <c r="M572" s="9"/>
      <c r="N572" s="9"/>
      <c r="O572" s="9"/>
      <c r="P572" s="9"/>
      <c r="Q572" s="9"/>
      <c r="R572" s="9"/>
      <c r="S572" s="9"/>
      <c r="T572" s="9"/>
      <c r="U572" s="9"/>
      <c r="V572" s="9"/>
      <c r="W572" s="9"/>
      <c r="X572" s="9"/>
      <c r="Y572" s="9"/>
      <c r="Z572" s="9"/>
      <c r="AA572" s="9"/>
      <c r="AB572" s="9"/>
      <c r="AC572" s="9"/>
      <c r="AD572" s="9"/>
    </row>
    <row r="573" spans="1:30" ht="14.25" customHeight="1">
      <c r="A573" s="11"/>
      <c r="B573" s="12"/>
      <c r="C573" s="12"/>
      <c r="D573" s="12"/>
      <c r="E573" s="12"/>
      <c r="F573" s="12"/>
      <c r="G573" s="12"/>
      <c r="H573" s="12"/>
      <c r="I573" s="12"/>
      <c r="J573" s="12"/>
      <c r="K573" s="13"/>
      <c r="L573" s="9"/>
      <c r="M573" s="9"/>
      <c r="N573" s="9"/>
      <c r="O573" s="9"/>
      <c r="P573" s="9"/>
      <c r="Q573" s="9"/>
      <c r="R573" s="9"/>
      <c r="S573" s="9"/>
      <c r="T573" s="9"/>
      <c r="U573" s="9"/>
      <c r="V573" s="9"/>
      <c r="W573" s="9"/>
      <c r="X573" s="9"/>
      <c r="Y573" s="9"/>
      <c r="Z573" s="9"/>
      <c r="AA573" s="9"/>
      <c r="AB573" s="9"/>
      <c r="AC573" s="9"/>
      <c r="AD573" s="9"/>
    </row>
    <row r="574" spans="1:30" ht="14.25" customHeight="1">
      <c r="A574" s="11"/>
      <c r="B574" s="12"/>
      <c r="C574" s="12"/>
      <c r="D574" s="12"/>
      <c r="E574" s="12"/>
      <c r="F574" s="12"/>
      <c r="G574" s="12"/>
      <c r="H574" s="12"/>
      <c r="I574" s="12"/>
      <c r="J574" s="12"/>
      <c r="K574" s="13"/>
      <c r="L574" s="9"/>
      <c r="M574" s="9"/>
      <c r="N574" s="9"/>
      <c r="O574" s="9"/>
      <c r="P574" s="9"/>
      <c r="Q574" s="9"/>
      <c r="R574" s="9"/>
      <c r="S574" s="9"/>
      <c r="T574" s="9"/>
      <c r="U574" s="9"/>
      <c r="V574" s="9"/>
      <c r="W574" s="9"/>
      <c r="X574" s="9"/>
      <c r="Y574" s="9"/>
      <c r="Z574" s="9"/>
      <c r="AA574" s="9"/>
      <c r="AB574" s="9"/>
      <c r="AC574" s="9"/>
      <c r="AD574" s="9"/>
    </row>
    <row r="575" spans="1:30" ht="14.25" customHeight="1">
      <c r="A575" s="11"/>
      <c r="B575" s="12"/>
      <c r="C575" s="12"/>
      <c r="D575" s="12"/>
      <c r="E575" s="12"/>
      <c r="F575" s="12"/>
      <c r="G575" s="12"/>
      <c r="H575" s="12"/>
      <c r="I575" s="12"/>
      <c r="J575" s="12"/>
      <c r="K575" s="13"/>
      <c r="L575" s="9"/>
      <c r="M575" s="9"/>
      <c r="N575" s="9"/>
      <c r="O575" s="9"/>
      <c r="P575" s="9"/>
      <c r="Q575" s="9"/>
      <c r="R575" s="9"/>
      <c r="S575" s="9"/>
      <c r="T575" s="9"/>
      <c r="U575" s="9"/>
      <c r="V575" s="9"/>
      <c r="W575" s="9"/>
      <c r="X575" s="9"/>
      <c r="Y575" s="9"/>
      <c r="Z575" s="9"/>
      <c r="AA575" s="9"/>
      <c r="AB575" s="9"/>
      <c r="AC575" s="9"/>
      <c r="AD575" s="9"/>
    </row>
    <row r="576" spans="1:30" ht="14.25" customHeight="1">
      <c r="A576" s="11"/>
      <c r="B576" s="12"/>
      <c r="C576" s="12"/>
      <c r="D576" s="12"/>
      <c r="E576" s="12"/>
      <c r="F576" s="12"/>
      <c r="G576" s="12"/>
      <c r="H576" s="12"/>
      <c r="I576" s="12"/>
      <c r="J576" s="12"/>
      <c r="K576" s="13"/>
      <c r="L576" s="9"/>
      <c r="M576" s="9"/>
      <c r="N576" s="9"/>
      <c r="O576" s="9"/>
      <c r="P576" s="9"/>
      <c r="Q576" s="9"/>
      <c r="R576" s="9"/>
      <c r="S576" s="9"/>
      <c r="T576" s="9"/>
      <c r="U576" s="9"/>
      <c r="V576" s="9"/>
      <c r="W576" s="9"/>
      <c r="X576" s="9"/>
      <c r="Y576" s="9"/>
      <c r="Z576" s="9"/>
      <c r="AA576" s="9"/>
      <c r="AB576" s="9"/>
      <c r="AC576" s="9"/>
      <c r="AD576" s="9"/>
    </row>
    <row r="577" spans="1:30" ht="14.25" customHeight="1">
      <c r="A577" s="11"/>
      <c r="B577" s="12"/>
      <c r="C577" s="12"/>
      <c r="D577" s="12"/>
      <c r="E577" s="12"/>
      <c r="F577" s="12"/>
      <c r="G577" s="12"/>
      <c r="H577" s="12"/>
      <c r="I577" s="12"/>
      <c r="J577" s="12"/>
      <c r="K577" s="13"/>
      <c r="L577" s="9"/>
      <c r="M577" s="9"/>
      <c r="N577" s="9"/>
      <c r="O577" s="9"/>
      <c r="P577" s="9"/>
      <c r="Q577" s="9"/>
      <c r="R577" s="9"/>
      <c r="S577" s="9"/>
      <c r="T577" s="9"/>
      <c r="U577" s="9"/>
      <c r="V577" s="9"/>
      <c r="W577" s="9"/>
      <c r="X577" s="9"/>
      <c r="Y577" s="9"/>
      <c r="Z577" s="9"/>
      <c r="AA577" s="9"/>
      <c r="AB577" s="9"/>
      <c r="AC577" s="9"/>
      <c r="AD577" s="9"/>
    </row>
    <row r="578" spans="1:30" ht="14.25" customHeight="1">
      <c r="A578" s="11"/>
      <c r="B578" s="12"/>
      <c r="C578" s="12"/>
      <c r="D578" s="12"/>
      <c r="E578" s="12"/>
      <c r="F578" s="12"/>
      <c r="G578" s="12"/>
      <c r="H578" s="12"/>
      <c r="I578" s="12"/>
      <c r="J578" s="12"/>
      <c r="K578" s="13"/>
      <c r="L578" s="9"/>
      <c r="M578" s="9"/>
      <c r="N578" s="9"/>
      <c r="O578" s="9"/>
      <c r="P578" s="9"/>
      <c r="Q578" s="9"/>
      <c r="R578" s="9"/>
      <c r="S578" s="9"/>
      <c r="T578" s="9"/>
      <c r="U578" s="9"/>
      <c r="V578" s="9"/>
      <c r="W578" s="9"/>
      <c r="X578" s="9"/>
      <c r="Y578" s="9"/>
      <c r="Z578" s="9"/>
      <c r="AA578" s="9"/>
      <c r="AB578" s="9"/>
      <c r="AC578" s="9"/>
      <c r="AD578" s="9"/>
    </row>
    <row r="579" spans="1:30" ht="14.25" customHeight="1">
      <c r="A579" s="11"/>
      <c r="B579" s="12"/>
      <c r="C579" s="12"/>
      <c r="D579" s="12"/>
      <c r="E579" s="12"/>
      <c r="F579" s="12"/>
      <c r="G579" s="12"/>
      <c r="H579" s="12"/>
      <c r="I579" s="12"/>
      <c r="J579" s="12"/>
      <c r="K579" s="13"/>
      <c r="L579" s="9"/>
      <c r="M579" s="9"/>
      <c r="N579" s="9"/>
      <c r="O579" s="9"/>
      <c r="P579" s="9"/>
      <c r="Q579" s="9"/>
      <c r="R579" s="9"/>
      <c r="S579" s="9"/>
      <c r="T579" s="9"/>
      <c r="U579" s="9"/>
      <c r="V579" s="9"/>
      <c r="W579" s="9"/>
      <c r="X579" s="9"/>
      <c r="Y579" s="9"/>
      <c r="Z579" s="9"/>
      <c r="AA579" s="9"/>
      <c r="AB579" s="9"/>
      <c r="AC579" s="9"/>
      <c r="AD579" s="9"/>
    </row>
    <row r="580" spans="1:30" ht="14.25" customHeight="1">
      <c r="A580" s="11"/>
      <c r="B580" s="12"/>
      <c r="C580" s="12"/>
      <c r="D580" s="12"/>
      <c r="E580" s="12"/>
      <c r="F580" s="12"/>
      <c r="G580" s="12"/>
      <c r="H580" s="12"/>
      <c r="I580" s="12"/>
      <c r="J580" s="12"/>
      <c r="K580" s="13"/>
      <c r="L580" s="9"/>
      <c r="M580" s="9"/>
      <c r="N580" s="9"/>
      <c r="O580" s="9"/>
      <c r="P580" s="9"/>
      <c r="Q580" s="9"/>
      <c r="R580" s="9"/>
      <c r="S580" s="9"/>
      <c r="T580" s="9"/>
      <c r="U580" s="9"/>
      <c r="V580" s="9"/>
      <c r="W580" s="9"/>
      <c r="X580" s="9"/>
      <c r="Y580" s="9"/>
      <c r="Z580" s="9"/>
      <c r="AA580" s="9"/>
      <c r="AB580" s="9"/>
      <c r="AC580" s="9"/>
      <c r="AD580" s="9"/>
    </row>
    <row r="581" spans="1:30" ht="14.25" customHeight="1">
      <c r="A581" s="11"/>
      <c r="B581" s="12"/>
      <c r="C581" s="12"/>
      <c r="D581" s="12"/>
      <c r="E581" s="12"/>
      <c r="F581" s="12"/>
      <c r="G581" s="12"/>
      <c r="H581" s="12"/>
      <c r="I581" s="12"/>
      <c r="J581" s="12"/>
      <c r="K581" s="13"/>
      <c r="L581" s="9"/>
      <c r="M581" s="9"/>
      <c r="N581" s="9"/>
      <c r="O581" s="9"/>
      <c r="P581" s="9"/>
      <c r="Q581" s="9"/>
      <c r="R581" s="9"/>
      <c r="S581" s="9"/>
      <c r="T581" s="9"/>
      <c r="U581" s="9"/>
      <c r="V581" s="9"/>
      <c r="W581" s="9"/>
      <c r="X581" s="9"/>
      <c r="Y581" s="9"/>
      <c r="Z581" s="9"/>
      <c r="AA581" s="9"/>
      <c r="AB581" s="9"/>
      <c r="AC581" s="9"/>
      <c r="AD581" s="9"/>
    </row>
    <row r="582" spans="1:30" ht="14.25" customHeight="1">
      <c r="A582" s="11"/>
      <c r="B582" s="12"/>
      <c r="C582" s="12"/>
      <c r="D582" s="12"/>
      <c r="E582" s="12"/>
      <c r="F582" s="12"/>
      <c r="G582" s="12"/>
      <c r="H582" s="12"/>
      <c r="I582" s="12"/>
      <c r="J582" s="12"/>
      <c r="K582" s="13"/>
      <c r="L582" s="9"/>
      <c r="M582" s="9"/>
      <c r="N582" s="9"/>
      <c r="O582" s="9"/>
      <c r="P582" s="9"/>
      <c r="Q582" s="9"/>
      <c r="R582" s="9"/>
      <c r="S582" s="9"/>
      <c r="T582" s="9"/>
      <c r="U582" s="9"/>
      <c r="V582" s="9"/>
      <c r="W582" s="9"/>
      <c r="X582" s="9"/>
      <c r="Y582" s="9"/>
      <c r="Z582" s="9"/>
      <c r="AA582" s="9"/>
      <c r="AB582" s="9"/>
      <c r="AC582" s="9"/>
      <c r="AD582" s="9"/>
    </row>
    <row r="583" spans="1:30" ht="14.25" customHeight="1">
      <c r="A583" s="11"/>
      <c r="B583" s="12"/>
      <c r="C583" s="12"/>
      <c r="D583" s="12"/>
      <c r="E583" s="12"/>
      <c r="F583" s="12"/>
      <c r="G583" s="12"/>
      <c r="H583" s="12"/>
      <c r="I583" s="12"/>
      <c r="J583" s="12"/>
      <c r="K583" s="13"/>
      <c r="L583" s="9"/>
      <c r="M583" s="9"/>
      <c r="N583" s="9"/>
      <c r="O583" s="9"/>
      <c r="P583" s="9"/>
      <c r="Q583" s="9"/>
      <c r="R583" s="9"/>
      <c r="S583" s="9"/>
      <c r="T583" s="9"/>
      <c r="U583" s="9"/>
      <c r="V583" s="9"/>
      <c r="W583" s="9"/>
      <c r="X583" s="9"/>
      <c r="Y583" s="9"/>
      <c r="Z583" s="9"/>
      <c r="AA583" s="9"/>
      <c r="AB583" s="9"/>
      <c r="AC583" s="9"/>
      <c r="AD583" s="9"/>
    </row>
    <row r="584" spans="1:30" ht="14.25" customHeight="1">
      <c r="A584" s="11"/>
      <c r="B584" s="12"/>
      <c r="C584" s="12"/>
      <c r="D584" s="12"/>
      <c r="E584" s="12"/>
      <c r="F584" s="12"/>
      <c r="G584" s="12"/>
      <c r="H584" s="12"/>
      <c r="I584" s="12"/>
      <c r="J584" s="12"/>
      <c r="K584" s="13"/>
      <c r="L584" s="9"/>
      <c r="M584" s="9"/>
      <c r="N584" s="9"/>
      <c r="O584" s="9"/>
      <c r="P584" s="9"/>
      <c r="Q584" s="9"/>
      <c r="R584" s="9"/>
      <c r="S584" s="9"/>
      <c r="T584" s="9"/>
      <c r="U584" s="9"/>
      <c r="V584" s="9"/>
      <c r="W584" s="9"/>
      <c r="X584" s="9"/>
      <c r="Y584" s="9"/>
      <c r="Z584" s="9"/>
      <c r="AA584" s="9"/>
      <c r="AB584" s="9"/>
      <c r="AC584" s="9"/>
      <c r="AD584" s="9"/>
    </row>
    <row r="585" spans="1:30" ht="14.25" customHeight="1">
      <c r="A585" s="11"/>
      <c r="B585" s="12"/>
      <c r="C585" s="12"/>
      <c r="D585" s="12"/>
      <c r="E585" s="12"/>
      <c r="F585" s="12"/>
      <c r="G585" s="12"/>
      <c r="H585" s="12"/>
      <c r="I585" s="12"/>
      <c r="J585" s="12"/>
      <c r="K585" s="13"/>
      <c r="L585" s="9"/>
      <c r="M585" s="9"/>
      <c r="N585" s="9"/>
      <c r="O585" s="9"/>
      <c r="P585" s="9"/>
      <c r="Q585" s="9"/>
      <c r="R585" s="9"/>
      <c r="S585" s="9"/>
      <c r="T585" s="9"/>
      <c r="U585" s="9"/>
      <c r="V585" s="9"/>
      <c r="W585" s="9"/>
      <c r="X585" s="9"/>
      <c r="Y585" s="9"/>
      <c r="Z585" s="9"/>
      <c r="AA585" s="9"/>
      <c r="AB585" s="9"/>
      <c r="AC585" s="9"/>
      <c r="AD585" s="9"/>
    </row>
    <row r="586" spans="1:30" ht="14.25" customHeight="1">
      <c r="A586" s="11"/>
      <c r="B586" s="12"/>
      <c r="C586" s="12"/>
      <c r="D586" s="12"/>
      <c r="E586" s="12"/>
      <c r="F586" s="12"/>
      <c r="G586" s="12"/>
      <c r="H586" s="12"/>
      <c r="I586" s="12"/>
      <c r="J586" s="12"/>
      <c r="K586" s="13"/>
      <c r="L586" s="9"/>
      <c r="M586" s="9"/>
      <c r="N586" s="9"/>
      <c r="O586" s="9"/>
      <c r="P586" s="9"/>
      <c r="Q586" s="9"/>
      <c r="R586" s="9"/>
      <c r="S586" s="9"/>
      <c r="T586" s="9"/>
      <c r="U586" s="9"/>
      <c r="V586" s="9"/>
      <c r="W586" s="9"/>
      <c r="X586" s="9"/>
      <c r="Y586" s="9"/>
      <c r="Z586" s="9"/>
      <c r="AA586" s="9"/>
      <c r="AB586" s="9"/>
      <c r="AC586" s="9"/>
      <c r="AD586" s="9"/>
    </row>
    <row r="587" spans="1:30" ht="14.25" customHeight="1">
      <c r="A587" s="11"/>
      <c r="B587" s="12"/>
      <c r="C587" s="12"/>
      <c r="D587" s="12"/>
      <c r="E587" s="12"/>
      <c r="F587" s="12"/>
      <c r="G587" s="12"/>
      <c r="H587" s="12"/>
      <c r="I587" s="12"/>
      <c r="J587" s="12"/>
      <c r="K587" s="13"/>
      <c r="L587" s="9"/>
      <c r="M587" s="9"/>
      <c r="N587" s="9"/>
      <c r="O587" s="9"/>
      <c r="P587" s="9"/>
      <c r="Q587" s="9"/>
      <c r="R587" s="9"/>
      <c r="S587" s="9"/>
      <c r="T587" s="9"/>
      <c r="U587" s="9"/>
      <c r="V587" s="9"/>
      <c r="W587" s="9"/>
      <c r="X587" s="9"/>
      <c r="Y587" s="9"/>
      <c r="Z587" s="9"/>
      <c r="AA587" s="9"/>
      <c r="AB587" s="9"/>
      <c r="AC587" s="9"/>
      <c r="AD587" s="9"/>
    </row>
    <row r="588" spans="1:30" ht="14.25" customHeight="1">
      <c r="A588" s="11"/>
      <c r="B588" s="12"/>
      <c r="C588" s="12"/>
      <c r="D588" s="12"/>
      <c r="E588" s="12"/>
      <c r="F588" s="12"/>
      <c r="G588" s="12"/>
      <c r="H588" s="12"/>
      <c r="I588" s="12"/>
      <c r="J588" s="12"/>
      <c r="K588" s="13"/>
      <c r="L588" s="9"/>
      <c r="M588" s="9"/>
      <c r="N588" s="9"/>
      <c r="O588" s="9"/>
      <c r="P588" s="9"/>
      <c r="Q588" s="9"/>
      <c r="R588" s="9"/>
      <c r="S588" s="9"/>
      <c r="T588" s="9"/>
      <c r="U588" s="9"/>
      <c r="V588" s="9"/>
      <c r="W588" s="9"/>
      <c r="X588" s="9"/>
      <c r="Y588" s="9"/>
      <c r="Z588" s="9"/>
      <c r="AA588" s="9"/>
      <c r="AB588" s="9"/>
      <c r="AC588" s="9"/>
      <c r="AD588" s="9"/>
    </row>
    <row r="589" spans="1:30" ht="14.25" customHeight="1">
      <c r="A589" s="11"/>
      <c r="B589" s="12"/>
      <c r="C589" s="12"/>
      <c r="D589" s="12"/>
      <c r="E589" s="12"/>
      <c r="F589" s="12"/>
      <c r="G589" s="12"/>
      <c r="H589" s="12"/>
      <c r="I589" s="12"/>
      <c r="J589" s="12"/>
      <c r="K589" s="13"/>
      <c r="L589" s="9"/>
      <c r="M589" s="9"/>
      <c r="N589" s="9"/>
      <c r="O589" s="9"/>
      <c r="P589" s="9"/>
      <c r="Q589" s="9"/>
      <c r="R589" s="9"/>
      <c r="S589" s="9"/>
      <c r="T589" s="9"/>
      <c r="U589" s="9"/>
      <c r="V589" s="9"/>
      <c r="W589" s="9"/>
      <c r="X589" s="9"/>
      <c r="Y589" s="9"/>
      <c r="Z589" s="9"/>
      <c r="AA589" s="9"/>
      <c r="AB589" s="9"/>
      <c r="AC589" s="9"/>
      <c r="AD589" s="9"/>
    </row>
    <row r="590" spans="1:30" ht="14.25" customHeight="1">
      <c r="A590" s="11"/>
      <c r="B590" s="12"/>
      <c r="C590" s="12"/>
      <c r="D590" s="12"/>
      <c r="E590" s="12"/>
      <c r="F590" s="12"/>
      <c r="G590" s="12"/>
      <c r="H590" s="12"/>
      <c r="I590" s="12"/>
      <c r="J590" s="12"/>
      <c r="K590" s="13"/>
      <c r="L590" s="9"/>
      <c r="M590" s="9"/>
      <c r="N590" s="9"/>
      <c r="O590" s="9"/>
      <c r="P590" s="9"/>
      <c r="Q590" s="9"/>
      <c r="R590" s="9"/>
      <c r="S590" s="9"/>
      <c r="T590" s="9"/>
      <c r="U590" s="9"/>
      <c r="V590" s="9"/>
      <c r="W590" s="9"/>
      <c r="X590" s="9"/>
      <c r="Y590" s="9"/>
      <c r="Z590" s="9"/>
      <c r="AA590" s="9"/>
      <c r="AB590" s="9"/>
      <c r="AC590" s="9"/>
      <c r="AD590" s="9"/>
    </row>
    <row r="591" spans="1:30" ht="14.25" customHeight="1">
      <c r="A591" s="11"/>
      <c r="B591" s="12"/>
      <c r="C591" s="12"/>
      <c r="D591" s="12"/>
      <c r="E591" s="12"/>
      <c r="F591" s="12"/>
      <c r="G591" s="12"/>
      <c r="H591" s="12"/>
      <c r="I591" s="12"/>
      <c r="J591" s="12"/>
      <c r="K591" s="13"/>
      <c r="L591" s="9"/>
      <c r="M591" s="9"/>
      <c r="N591" s="9"/>
      <c r="O591" s="9"/>
      <c r="P591" s="9"/>
      <c r="Q591" s="9"/>
      <c r="R591" s="9"/>
      <c r="S591" s="9"/>
      <c r="T591" s="9"/>
      <c r="U591" s="9"/>
      <c r="V591" s="9"/>
      <c r="W591" s="9"/>
      <c r="X591" s="9"/>
      <c r="Y591" s="9"/>
      <c r="Z591" s="9"/>
      <c r="AA591" s="9"/>
      <c r="AB591" s="9"/>
      <c r="AC591" s="9"/>
      <c r="AD591" s="9"/>
    </row>
    <row r="592" spans="1:30" ht="14.25" customHeight="1">
      <c r="A592" s="11"/>
      <c r="B592" s="12"/>
      <c r="C592" s="12"/>
      <c r="D592" s="12"/>
      <c r="E592" s="12"/>
      <c r="F592" s="12"/>
      <c r="G592" s="12"/>
      <c r="H592" s="12"/>
      <c r="I592" s="12"/>
      <c r="J592" s="12"/>
      <c r="K592" s="13"/>
      <c r="L592" s="9"/>
      <c r="M592" s="9"/>
      <c r="N592" s="9"/>
      <c r="O592" s="9"/>
      <c r="P592" s="9"/>
      <c r="Q592" s="9"/>
      <c r="R592" s="9"/>
      <c r="S592" s="9"/>
      <c r="T592" s="9"/>
      <c r="U592" s="9"/>
      <c r="V592" s="9"/>
      <c r="W592" s="9"/>
      <c r="X592" s="9"/>
      <c r="Y592" s="9"/>
      <c r="Z592" s="9"/>
      <c r="AA592" s="9"/>
      <c r="AB592" s="9"/>
      <c r="AC592" s="9"/>
      <c r="AD592" s="9"/>
    </row>
    <row r="593" spans="1:30" ht="14.25" customHeight="1">
      <c r="A593" s="11"/>
      <c r="B593" s="12"/>
      <c r="C593" s="12"/>
      <c r="D593" s="12"/>
      <c r="E593" s="12"/>
      <c r="F593" s="12"/>
      <c r="G593" s="12"/>
      <c r="H593" s="12"/>
      <c r="I593" s="12"/>
      <c r="J593" s="12"/>
      <c r="K593" s="13"/>
      <c r="L593" s="9"/>
      <c r="M593" s="9"/>
      <c r="N593" s="9"/>
      <c r="O593" s="9"/>
      <c r="P593" s="9"/>
      <c r="Q593" s="9"/>
      <c r="R593" s="9"/>
      <c r="S593" s="9"/>
      <c r="T593" s="9"/>
      <c r="U593" s="9"/>
      <c r="V593" s="9"/>
      <c r="W593" s="9"/>
      <c r="X593" s="9"/>
      <c r="Y593" s="9"/>
      <c r="Z593" s="9"/>
      <c r="AA593" s="9"/>
      <c r="AB593" s="9"/>
      <c r="AC593" s="9"/>
      <c r="AD593" s="9"/>
    </row>
    <row r="594" spans="1:30" ht="14.25" customHeight="1">
      <c r="A594" s="11"/>
      <c r="B594" s="12"/>
      <c r="C594" s="12"/>
      <c r="D594" s="12"/>
      <c r="E594" s="12"/>
      <c r="F594" s="12"/>
      <c r="G594" s="12"/>
      <c r="H594" s="12"/>
      <c r="I594" s="12"/>
      <c r="J594" s="12"/>
      <c r="K594" s="13"/>
      <c r="L594" s="9"/>
      <c r="M594" s="9"/>
      <c r="N594" s="9"/>
      <c r="O594" s="9"/>
      <c r="P594" s="9"/>
      <c r="Q594" s="9"/>
      <c r="R594" s="9"/>
      <c r="S594" s="9"/>
      <c r="T594" s="9"/>
      <c r="U594" s="9"/>
      <c r="V594" s="9"/>
      <c r="W594" s="9"/>
      <c r="X594" s="9"/>
      <c r="Y594" s="9"/>
      <c r="Z594" s="9"/>
      <c r="AA594" s="9"/>
      <c r="AB594" s="9"/>
      <c r="AC594" s="9"/>
      <c r="AD594" s="9"/>
    </row>
    <row r="595" spans="1:30" ht="14.25" customHeight="1">
      <c r="A595" s="11"/>
      <c r="B595" s="12"/>
      <c r="C595" s="12"/>
      <c r="D595" s="12"/>
      <c r="E595" s="12"/>
      <c r="F595" s="12"/>
      <c r="G595" s="12"/>
      <c r="H595" s="12"/>
      <c r="I595" s="12"/>
      <c r="J595" s="12"/>
      <c r="K595" s="13"/>
      <c r="L595" s="9"/>
      <c r="M595" s="9"/>
      <c r="N595" s="9"/>
      <c r="O595" s="9"/>
      <c r="P595" s="9"/>
      <c r="Q595" s="9"/>
      <c r="R595" s="9"/>
      <c r="S595" s="9"/>
      <c r="T595" s="9"/>
      <c r="U595" s="9"/>
      <c r="V595" s="9"/>
      <c r="W595" s="9"/>
      <c r="X595" s="9"/>
      <c r="Y595" s="9"/>
      <c r="Z595" s="9"/>
      <c r="AA595" s="9"/>
      <c r="AB595" s="9"/>
      <c r="AC595" s="9"/>
      <c r="AD595" s="9"/>
    </row>
    <row r="596" spans="1:30" ht="14.25" customHeight="1">
      <c r="A596" s="11"/>
      <c r="B596" s="12"/>
      <c r="C596" s="12"/>
      <c r="D596" s="12"/>
      <c r="E596" s="12"/>
      <c r="F596" s="12"/>
      <c r="G596" s="12"/>
      <c r="H596" s="12"/>
      <c r="I596" s="12"/>
      <c r="J596" s="12"/>
      <c r="K596" s="13"/>
      <c r="L596" s="9"/>
      <c r="M596" s="9"/>
      <c r="N596" s="9"/>
      <c r="O596" s="9"/>
      <c r="P596" s="9"/>
      <c r="Q596" s="9"/>
      <c r="R596" s="9"/>
      <c r="S596" s="9"/>
      <c r="T596" s="9"/>
      <c r="U596" s="9"/>
      <c r="V596" s="9"/>
      <c r="W596" s="9"/>
      <c r="X596" s="9"/>
      <c r="Y596" s="9"/>
      <c r="Z596" s="9"/>
      <c r="AA596" s="9"/>
      <c r="AB596" s="9"/>
      <c r="AC596" s="9"/>
      <c r="AD596" s="9"/>
    </row>
    <row r="597" spans="1:30" ht="14.25" customHeight="1">
      <c r="A597" s="11"/>
      <c r="B597" s="12"/>
      <c r="C597" s="12"/>
      <c r="D597" s="12"/>
      <c r="E597" s="12"/>
      <c r="F597" s="12"/>
      <c r="G597" s="12"/>
      <c r="H597" s="12"/>
      <c r="I597" s="12"/>
      <c r="J597" s="12"/>
      <c r="K597" s="13"/>
      <c r="L597" s="9"/>
      <c r="M597" s="9"/>
      <c r="N597" s="9"/>
      <c r="O597" s="9"/>
      <c r="P597" s="9"/>
      <c r="Q597" s="9"/>
      <c r="R597" s="9"/>
      <c r="S597" s="9"/>
      <c r="T597" s="9"/>
      <c r="U597" s="9"/>
      <c r="V597" s="9"/>
      <c r="W597" s="9"/>
      <c r="X597" s="9"/>
      <c r="Y597" s="9"/>
      <c r="Z597" s="9"/>
      <c r="AA597" s="9"/>
      <c r="AB597" s="9"/>
      <c r="AC597" s="9"/>
      <c r="AD597" s="9"/>
    </row>
    <row r="598" spans="1:30" ht="14.25" customHeight="1">
      <c r="A598" s="11"/>
      <c r="B598" s="12"/>
      <c r="C598" s="12"/>
      <c r="D598" s="12"/>
      <c r="E598" s="12"/>
      <c r="F598" s="12"/>
      <c r="G598" s="12"/>
      <c r="H598" s="12"/>
      <c r="I598" s="12"/>
      <c r="J598" s="12"/>
      <c r="K598" s="13"/>
      <c r="L598" s="9"/>
      <c r="M598" s="9"/>
      <c r="N598" s="9"/>
      <c r="O598" s="9"/>
      <c r="P598" s="9"/>
      <c r="Q598" s="9"/>
      <c r="R598" s="9"/>
      <c r="S598" s="9"/>
      <c r="T598" s="9"/>
      <c r="U598" s="9"/>
      <c r="V598" s="9"/>
      <c r="W598" s="9"/>
      <c r="X598" s="9"/>
      <c r="Y598" s="9"/>
      <c r="Z598" s="9"/>
      <c r="AA598" s="9"/>
      <c r="AB598" s="9"/>
      <c r="AC598" s="9"/>
      <c r="AD598" s="9"/>
    </row>
    <row r="599" spans="1:30" ht="14.25" customHeight="1">
      <c r="A599" s="11"/>
      <c r="B599" s="12"/>
      <c r="C599" s="12"/>
      <c r="D599" s="12"/>
      <c r="E599" s="12"/>
      <c r="F599" s="12"/>
      <c r="G599" s="12"/>
      <c r="H599" s="12"/>
      <c r="I599" s="12"/>
      <c r="J599" s="12"/>
      <c r="K599" s="13"/>
      <c r="L599" s="9"/>
      <c r="M599" s="9"/>
      <c r="N599" s="9"/>
      <c r="O599" s="9"/>
      <c r="P599" s="9"/>
      <c r="Q599" s="9"/>
      <c r="R599" s="9"/>
      <c r="S599" s="9"/>
      <c r="T599" s="9"/>
      <c r="U599" s="9"/>
      <c r="V599" s="9"/>
      <c r="W599" s="9"/>
      <c r="X599" s="9"/>
      <c r="Y599" s="9"/>
      <c r="Z599" s="9"/>
      <c r="AA599" s="9"/>
      <c r="AB599" s="9"/>
      <c r="AC599" s="9"/>
      <c r="AD599" s="9"/>
    </row>
    <row r="600" spans="1:30" ht="14.25" customHeight="1">
      <c r="A600" s="11"/>
      <c r="B600" s="12"/>
      <c r="C600" s="12"/>
      <c r="D600" s="12"/>
      <c r="E600" s="12"/>
      <c r="F600" s="12"/>
      <c r="G600" s="12"/>
      <c r="H600" s="12"/>
      <c r="I600" s="12"/>
      <c r="J600" s="12"/>
      <c r="K600" s="13"/>
      <c r="L600" s="9"/>
      <c r="M600" s="9"/>
      <c r="N600" s="9"/>
      <c r="O600" s="9"/>
      <c r="P600" s="9"/>
      <c r="Q600" s="9"/>
      <c r="R600" s="9"/>
      <c r="S600" s="9"/>
      <c r="T600" s="9"/>
      <c r="U600" s="9"/>
      <c r="V600" s="9"/>
      <c r="W600" s="9"/>
      <c r="X600" s="9"/>
      <c r="Y600" s="9"/>
      <c r="Z600" s="9"/>
      <c r="AA600" s="9"/>
      <c r="AB600" s="9"/>
      <c r="AC600" s="9"/>
      <c r="AD600" s="9"/>
    </row>
    <row r="601" spans="1:30" ht="14.25" customHeight="1">
      <c r="A601" s="11"/>
      <c r="B601" s="12"/>
      <c r="C601" s="12"/>
      <c r="D601" s="12"/>
      <c r="E601" s="12"/>
      <c r="F601" s="12"/>
      <c r="G601" s="12"/>
      <c r="H601" s="12"/>
      <c r="I601" s="12"/>
      <c r="J601" s="12"/>
      <c r="K601" s="13"/>
      <c r="L601" s="9"/>
      <c r="M601" s="9"/>
      <c r="N601" s="9"/>
      <c r="O601" s="9"/>
      <c r="P601" s="9"/>
      <c r="Q601" s="9"/>
      <c r="R601" s="9"/>
      <c r="S601" s="9"/>
      <c r="T601" s="9"/>
      <c r="U601" s="9"/>
      <c r="V601" s="9"/>
      <c r="W601" s="9"/>
      <c r="X601" s="9"/>
      <c r="Y601" s="9"/>
      <c r="Z601" s="9"/>
      <c r="AA601" s="9"/>
      <c r="AB601" s="9"/>
      <c r="AC601" s="9"/>
      <c r="AD601" s="9"/>
    </row>
    <row r="602" spans="1:30" ht="14.25" customHeight="1">
      <c r="A602" s="11"/>
      <c r="B602" s="12"/>
      <c r="C602" s="12"/>
      <c r="D602" s="12"/>
      <c r="E602" s="12"/>
      <c r="F602" s="12"/>
      <c r="G602" s="12"/>
      <c r="H602" s="12"/>
      <c r="I602" s="12"/>
      <c r="J602" s="12"/>
      <c r="K602" s="13"/>
      <c r="L602" s="9"/>
      <c r="M602" s="9"/>
      <c r="N602" s="9"/>
      <c r="O602" s="9"/>
      <c r="P602" s="9"/>
      <c r="Q602" s="9"/>
      <c r="R602" s="9"/>
      <c r="S602" s="9"/>
      <c r="T602" s="9"/>
      <c r="U602" s="9"/>
      <c r="V602" s="9"/>
      <c r="W602" s="9"/>
      <c r="X602" s="9"/>
      <c r="Y602" s="9"/>
      <c r="Z602" s="9"/>
      <c r="AA602" s="9"/>
      <c r="AB602" s="9"/>
      <c r="AC602" s="9"/>
      <c r="AD602" s="9"/>
    </row>
    <row r="603" spans="1:30" ht="14.25" customHeight="1">
      <c r="A603" s="11"/>
      <c r="B603" s="12"/>
      <c r="C603" s="12"/>
      <c r="D603" s="12"/>
      <c r="E603" s="12"/>
      <c r="F603" s="12"/>
      <c r="G603" s="12"/>
      <c r="H603" s="12"/>
      <c r="I603" s="12"/>
      <c r="J603" s="12"/>
      <c r="K603" s="13"/>
      <c r="L603" s="9"/>
      <c r="M603" s="9"/>
      <c r="N603" s="9"/>
      <c r="O603" s="9"/>
      <c r="P603" s="9"/>
      <c r="Q603" s="9"/>
      <c r="R603" s="9"/>
      <c r="S603" s="9"/>
      <c r="T603" s="9"/>
      <c r="U603" s="9"/>
      <c r="V603" s="9"/>
      <c r="W603" s="9"/>
      <c r="X603" s="9"/>
      <c r="Y603" s="9"/>
      <c r="Z603" s="9"/>
      <c r="AA603" s="9"/>
      <c r="AB603" s="9"/>
      <c r="AC603" s="9"/>
      <c r="AD603" s="9"/>
    </row>
    <row r="604" spans="1:30" ht="14.25" customHeight="1">
      <c r="A604" s="11"/>
      <c r="B604" s="12"/>
      <c r="C604" s="12"/>
      <c r="D604" s="12"/>
      <c r="E604" s="12"/>
      <c r="F604" s="12"/>
      <c r="G604" s="12"/>
      <c r="H604" s="12"/>
      <c r="I604" s="12"/>
      <c r="J604" s="12"/>
      <c r="K604" s="13"/>
      <c r="L604" s="9"/>
      <c r="M604" s="9"/>
      <c r="N604" s="9"/>
      <c r="O604" s="9"/>
      <c r="P604" s="9"/>
      <c r="Q604" s="9"/>
      <c r="R604" s="9"/>
      <c r="S604" s="9"/>
      <c r="T604" s="9"/>
      <c r="U604" s="9"/>
      <c r="V604" s="9"/>
      <c r="W604" s="9"/>
      <c r="X604" s="9"/>
      <c r="Y604" s="9"/>
      <c r="Z604" s="9"/>
      <c r="AA604" s="9"/>
      <c r="AB604" s="9"/>
      <c r="AC604" s="9"/>
      <c r="AD604" s="9"/>
    </row>
    <row r="605" spans="1:30" ht="14.25" customHeight="1">
      <c r="A605" s="11"/>
      <c r="B605" s="12"/>
      <c r="C605" s="12"/>
      <c r="D605" s="12"/>
      <c r="E605" s="12"/>
      <c r="F605" s="12"/>
      <c r="G605" s="12"/>
      <c r="H605" s="12"/>
      <c r="I605" s="12"/>
      <c r="J605" s="12"/>
      <c r="K605" s="13"/>
      <c r="L605" s="9"/>
      <c r="M605" s="9"/>
      <c r="N605" s="9"/>
      <c r="O605" s="9"/>
      <c r="P605" s="9"/>
      <c r="Q605" s="9"/>
      <c r="R605" s="9"/>
      <c r="S605" s="9"/>
      <c r="T605" s="9"/>
      <c r="U605" s="9"/>
      <c r="V605" s="9"/>
      <c r="W605" s="9"/>
      <c r="X605" s="9"/>
      <c r="Y605" s="9"/>
      <c r="Z605" s="9"/>
      <c r="AA605" s="9"/>
      <c r="AB605" s="9"/>
      <c r="AC605" s="9"/>
      <c r="AD605" s="9"/>
    </row>
    <row r="606" spans="1:30" ht="14.25" customHeight="1">
      <c r="A606" s="11"/>
      <c r="B606" s="12"/>
      <c r="C606" s="12"/>
      <c r="D606" s="12"/>
      <c r="E606" s="12"/>
      <c r="F606" s="12"/>
      <c r="G606" s="12"/>
      <c r="H606" s="12"/>
      <c r="I606" s="12"/>
      <c r="J606" s="12"/>
      <c r="K606" s="13"/>
      <c r="L606" s="9"/>
      <c r="M606" s="9"/>
      <c r="N606" s="9"/>
      <c r="O606" s="9"/>
      <c r="P606" s="9"/>
      <c r="Q606" s="9"/>
      <c r="R606" s="9"/>
      <c r="S606" s="9"/>
      <c r="T606" s="9"/>
      <c r="U606" s="9"/>
      <c r="V606" s="9"/>
      <c r="W606" s="9"/>
      <c r="X606" s="9"/>
      <c r="Y606" s="9"/>
      <c r="Z606" s="9"/>
      <c r="AA606" s="9"/>
      <c r="AB606" s="9"/>
      <c r="AC606" s="9"/>
      <c r="AD606" s="9"/>
    </row>
    <row r="607" spans="1:30" ht="14.25" customHeight="1">
      <c r="A607" s="11"/>
      <c r="B607" s="12"/>
      <c r="C607" s="12"/>
      <c r="D607" s="12"/>
      <c r="E607" s="12"/>
      <c r="F607" s="12"/>
      <c r="G607" s="12"/>
      <c r="H607" s="12"/>
      <c r="I607" s="12"/>
      <c r="J607" s="12"/>
      <c r="K607" s="13"/>
      <c r="L607" s="9"/>
      <c r="M607" s="9"/>
      <c r="N607" s="9"/>
      <c r="O607" s="9"/>
      <c r="P607" s="9"/>
      <c r="Q607" s="9"/>
      <c r="R607" s="9"/>
      <c r="S607" s="9"/>
      <c r="T607" s="9"/>
      <c r="U607" s="9"/>
      <c r="V607" s="9"/>
      <c r="W607" s="9"/>
      <c r="X607" s="9"/>
      <c r="Y607" s="9"/>
      <c r="Z607" s="9"/>
      <c r="AA607" s="9"/>
      <c r="AB607" s="9"/>
      <c r="AC607" s="9"/>
      <c r="AD607" s="9"/>
    </row>
    <row r="608" spans="1:30" ht="14.25" customHeight="1">
      <c r="A608" s="11"/>
      <c r="B608" s="12"/>
      <c r="C608" s="12"/>
      <c r="D608" s="12"/>
      <c r="E608" s="12"/>
      <c r="F608" s="12"/>
      <c r="G608" s="12"/>
      <c r="H608" s="12"/>
      <c r="I608" s="12"/>
      <c r="J608" s="12"/>
      <c r="K608" s="13"/>
      <c r="L608" s="9"/>
      <c r="M608" s="9"/>
      <c r="N608" s="9"/>
      <c r="O608" s="9"/>
      <c r="P608" s="9"/>
      <c r="Q608" s="9"/>
      <c r="R608" s="9"/>
      <c r="S608" s="9"/>
      <c r="T608" s="9"/>
      <c r="U608" s="9"/>
      <c r="V608" s="9"/>
      <c r="W608" s="9"/>
      <c r="X608" s="9"/>
      <c r="Y608" s="9"/>
      <c r="Z608" s="9"/>
      <c r="AA608" s="9"/>
      <c r="AB608" s="9"/>
      <c r="AC608" s="9"/>
      <c r="AD608" s="9"/>
    </row>
    <row r="609" spans="1:30" ht="14.25" customHeight="1">
      <c r="A609" s="11"/>
      <c r="B609" s="12"/>
      <c r="C609" s="12"/>
      <c r="D609" s="12"/>
      <c r="E609" s="12"/>
      <c r="F609" s="12"/>
      <c r="G609" s="12"/>
      <c r="H609" s="12"/>
      <c r="I609" s="12"/>
      <c r="J609" s="12"/>
      <c r="K609" s="13"/>
      <c r="L609" s="9"/>
      <c r="M609" s="9"/>
      <c r="N609" s="9"/>
      <c r="O609" s="9"/>
      <c r="P609" s="9"/>
      <c r="Q609" s="9"/>
      <c r="R609" s="9"/>
      <c r="S609" s="9"/>
      <c r="T609" s="9"/>
      <c r="U609" s="9"/>
      <c r="V609" s="9"/>
      <c r="W609" s="9"/>
      <c r="X609" s="9"/>
      <c r="Y609" s="9"/>
      <c r="Z609" s="9"/>
      <c r="AA609" s="9"/>
      <c r="AB609" s="9"/>
      <c r="AC609" s="9"/>
      <c r="AD609" s="9"/>
    </row>
    <row r="610" spans="1:30" ht="14.25" customHeight="1">
      <c r="A610" s="11"/>
      <c r="B610" s="12"/>
      <c r="C610" s="12"/>
      <c r="D610" s="12"/>
      <c r="E610" s="12"/>
      <c r="F610" s="12"/>
      <c r="G610" s="12"/>
      <c r="H610" s="12"/>
      <c r="I610" s="12"/>
      <c r="J610" s="12"/>
      <c r="K610" s="13"/>
      <c r="L610" s="9"/>
      <c r="M610" s="9"/>
      <c r="N610" s="9"/>
      <c r="O610" s="9"/>
      <c r="P610" s="9"/>
      <c r="Q610" s="9"/>
      <c r="R610" s="9"/>
      <c r="S610" s="9"/>
      <c r="T610" s="9"/>
      <c r="U610" s="9"/>
      <c r="V610" s="9"/>
      <c r="W610" s="9"/>
      <c r="X610" s="9"/>
      <c r="Y610" s="9"/>
      <c r="Z610" s="9"/>
      <c r="AA610" s="9"/>
      <c r="AB610" s="9"/>
      <c r="AC610" s="9"/>
      <c r="AD610" s="9"/>
    </row>
    <row r="611" spans="1:30" ht="14.25" customHeight="1">
      <c r="A611" s="11"/>
      <c r="B611" s="12"/>
      <c r="C611" s="12"/>
      <c r="D611" s="12"/>
      <c r="E611" s="12"/>
      <c r="F611" s="12"/>
      <c r="G611" s="12"/>
      <c r="H611" s="12"/>
      <c r="I611" s="12"/>
      <c r="J611" s="12"/>
      <c r="K611" s="13"/>
      <c r="L611" s="9"/>
      <c r="M611" s="9"/>
      <c r="N611" s="9"/>
      <c r="O611" s="9"/>
      <c r="P611" s="9"/>
      <c r="Q611" s="9"/>
      <c r="R611" s="9"/>
      <c r="S611" s="9"/>
      <c r="T611" s="9"/>
      <c r="U611" s="9"/>
      <c r="V611" s="9"/>
      <c r="W611" s="9"/>
      <c r="X611" s="9"/>
      <c r="Y611" s="9"/>
      <c r="Z611" s="9"/>
      <c r="AA611" s="9"/>
      <c r="AB611" s="9"/>
      <c r="AC611" s="9"/>
      <c r="AD611" s="9"/>
    </row>
    <row r="612" spans="1:30" ht="14.25" customHeight="1">
      <c r="A612" s="11"/>
      <c r="B612" s="12"/>
      <c r="C612" s="12"/>
      <c r="D612" s="12"/>
      <c r="E612" s="12"/>
      <c r="F612" s="12"/>
      <c r="G612" s="12"/>
      <c r="H612" s="12"/>
      <c r="I612" s="12"/>
      <c r="J612" s="12"/>
      <c r="K612" s="13"/>
      <c r="L612" s="9"/>
      <c r="M612" s="9"/>
      <c r="N612" s="9"/>
      <c r="O612" s="9"/>
      <c r="P612" s="9"/>
      <c r="Q612" s="9"/>
      <c r="R612" s="9"/>
      <c r="S612" s="9"/>
      <c r="T612" s="9"/>
      <c r="U612" s="9"/>
      <c r="V612" s="9"/>
      <c r="W612" s="9"/>
      <c r="X612" s="9"/>
      <c r="Y612" s="9"/>
      <c r="Z612" s="9"/>
      <c r="AA612" s="9"/>
      <c r="AB612" s="9"/>
      <c r="AC612" s="9"/>
      <c r="AD612" s="9"/>
    </row>
    <row r="613" spans="1:30" ht="14.25" customHeight="1">
      <c r="A613" s="11"/>
      <c r="B613" s="12"/>
      <c r="C613" s="12"/>
      <c r="D613" s="12"/>
      <c r="E613" s="12"/>
      <c r="F613" s="12"/>
      <c r="G613" s="12"/>
      <c r="H613" s="12"/>
      <c r="I613" s="12"/>
      <c r="J613" s="12"/>
      <c r="K613" s="13"/>
      <c r="L613" s="9"/>
      <c r="M613" s="9"/>
      <c r="N613" s="9"/>
      <c r="O613" s="9"/>
      <c r="P613" s="9"/>
      <c r="Q613" s="9"/>
      <c r="R613" s="9"/>
      <c r="S613" s="9"/>
      <c r="T613" s="9"/>
      <c r="U613" s="9"/>
      <c r="V613" s="9"/>
      <c r="W613" s="9"/>
      <c r="X613" s="9"/>
      <c r="Y613" s="9"/>
      <c r="Z613" s="9"/>
      <c r="AA613" s="9"/>
      <c r="AB613" s="9"/>
      <c r="AC613" s="9"/>
      <c r="AD613" s="9"/>
    </row>
    <row r="614" spans="1:30" ht="14.25" customHeight="1">
      <c r="A614" s="11"/>
      <c r="B614" s="12"/>
      <c r="C614" s="12"/>
      <c r="D614" s="12"/>
      <c r="E614" s="12"/>
      <c r="F614" s="12"/>
      <c r="G614" s="12"/>
      <c r="H614" s="12"/>
      <c r="I614" s="12"/>
      <c r="J614" s="12"/>
      <c r="K614" s="13"/>
      <c r="L614" s="9"/>
      <c r="M614" s="9"/>
      <c r="N614" s="9"/>
      <c r="O614" s="9"/>
      <c r="P614" s="9"/>
      <c r="Q614" s="9"/>
      <c r="R614" s="9"/>
      <c r="S614" s="9"/>
      <c r="T614" s="9"/>
      <c r="U614" s="9"/>
      <c r="V614" s="9"/>
      <c r="W614" s="9"/>
      <c r="X614" s="9"/>
      <c r="Y614" s="9"/>
      <c r="Z614" s="9"/>
      <c r="AA614" s="9"/>
      <c r="AB614" s="9"/>
      <c r="AC614" s="9"/>
      <c r="AD614" s="9"/>
    </row>
    <row r="615" spans="1:30" ht="14.25" customHeight="1">
      <c r="A615" s="11"/>
      <c r="B615" s="12"/>
      <c r="C615" s="12"/>
      <c r="D615" s="12"/>
      <c r="E615" s="12"/>
      <c r="F615" s="12"/>
      <c r="G615" s="12"/>
      <c r="H615" s="12"/>
      <c r="I615" s="12"/>
      <c r="J615" s="12"/>
      <c r="K615" s="13"/>
      <c r="L615" s="9"/>
      <c r="M615" s="9"/>
      <c r="N615" s="9"/>
      <c r="O615" s="9"/>
      <c r="P615" s="9"/>
      <c r="Q615" s="9"/>
      <c r="R615" s="9"/>
      <c r="S615" s="9"/>
      <c r="T615" s="9"/>
      <c r="U615" s="9"/>
      <c r="V615" s="9"/>
      <c r="W615" s="9"/>
      <c r="X615" s="9"/>
      <c r="Y615" s="9"/>
      <c r="Z615" s="9"/>
      <c r="AA615" s="9"/>
      <c r="AB615" s="9"/>
      <c r="AC615" s="9"/>
      <c r="AD615" s="9"/>
    </row>
    <row r="616" spans="1:30" ht="14.25" customHeight="1">
      <c r="A616" s="11"/>
      <c r="B616" s="12"/>
      <c r="C616" s="12"/>
      <c r="D616" s="12"/>
      <c r="E616" s="12"/>
      <c r="F616" s="12"/>
      <c r="G616" s="12"/>
      <c r="H616" s="12"/>
      <c r="I616" s="12"/>
      <c r="J616" s="12"/>
      <c r="K616" s="13"/>
      <c r="L616" s="9"/>
      <c r="M616" s="9"/>
      <c r="N616" s="9"/>
      <c r="O616" s="9"/>
      <c r="P616" s="9"/>
      <c r="Q616" s="9"/>
      <c r="R616" s="9"/>
      <c r="S616" s="9"/>
      <c r="T616" s="9"/>
      <c r="U616" s="9"/>
      <c r="V616" s="9"/>
      <c r="W616" s="9"/>
      <c r="X616" s="9"/>
      <c r="Y616" s="9"/>
      <c r="Z616" s="9"/>
      <c r="AA616" s="9"/>
      <c r="AB616" s="9"/>
      <c r="AC616" s="9"/>
      <c r="AD616" s="9"/>
    </row>
    <row r="617" spans="1:30" ht="14.25" customHeight="1">
      <c r="A617" s="11"/>
      <c r="B617" s="12"/>
      <c r="C617" s="12"/>
      <c r="D617" s="12"/>
      <c r="E617" s="12"/>
      <c r="F617" s="12"/>
      <c r="G617" s="12"/>
      <c r="H617" s="12"/>
      <c r="I617" s="12"/>
      <c r="J617" s="12"/>
      <c r="K617" s="13"/>
      <c r="L617" s="9"/>
      <c r="M617" s="9"/>
      <c r="N617" s="9"/>
      <c r="O617" s="9"/>
      <c r="P617" s="9"/>
      <c r="Q617" s="9"/>
      <c r="R617" s="9"/>
      <c r="S617" s="9"/>
      <c r="T617" s="9"/>
      <c r="U617" s="9"/>
      <c r="V617" s="9"/>
      <c r="W617" s="9"/>
      <c r="X617" s="9"/>
      <c r="Y617" s="9"/>
      <c r="Z617" s="9"/>
      <c r="AA617" s="9"/>
      <c r="AB617" s="9"/>
      <c r="AC617" s="9"/>
      <c r="AD617" s="9"/>
    </row>
    <row r="618" spans="1:30" ht="14.25" customHeight="1">
      <c r="A618" s="11"/>
      <c r="B618" s="12"/>
      <c r="C618" s="12"/>
      <c r="D618" s="12"/>
      <c r="E618" s="12"/>
      <c r="F618" s="12"/>
      <c r="G618" s="12"/>
      <c r="H618" s="12"/>
      <c r="I618" s="12"/>
      <c r="J618" s="12"/>
      <c r="K618" s="13"/>
      <c r="L618" s="9"/>
      <c r="M618" s="9"/>
      <c r="N618" s="9"/>
      <c r="O618" s="9"/>
      <c r="P618" s="9"/>
      <c r="Q618" s="9"/>
      <c r="R618" s="9"/>
      <c r="S618" s="9"/>
      <c r="T618" s="9"/>
      <c r="U618" s="9"/>
      <c r="V618" s="9"/>
      <c r="W618" s="9"/>
      <c r="X618" s="9"/>
      <c r="Y618" s="9"/>
      <c r="Z618" s="9"/>
      <c r="AA618" s="9"/>
      <c r="AB618" s="9"/>
      <c r="AC618" s="9"/>
      <c r="AD618" s="9"/>
    </row>
    <row r="619" spans="1:30" ht="14.25" customHeight="1">
      <c r="A619" s="11"/>
      <c r="B619" s="12"/>
      <c r="C619" s="12"/>
      <c r="D619" s="12"/>
      <c r="E619" s="12"/>
      <c r="F619" s="12"/>
      <c r="G619" s="12"/>
      <c r="H619" s="12"/>
      <c r="I619" s="12"/>
      <c r="J619" s="12"/>
      <c r="K619" s="13"/>
      <c r="L619" s="9"/>
      <c r="M619" s="9"/>
      <c r="N619" s="9"/>
      <c r="O619" s="9"/>
      <c r="P619" s="9"/>
      <c r="Q619" s="9"/>
      <c r="R619" s="9"/>
      <c r="S619" s="9"/>
      <c r="T619" s="9"/>
      <c r="U619" s="9"/>
      <c r="V619" s="9"/>
      <c r="W619" s="9"/>
      <c r="X619" s="9"/>
      <c r="Y619" s="9"/>
      <c r="Z619" s="9"/>
      <c r="AA619" s="9"/>
      <c r="AB619" s="9"/>
      <c r="AC619" s="9"/>
      <c r="AD619" s="9"/>
    </row>
    <row r="620" spans="1:30" ht="14.25" customHeight="1">
      <c r="A620" s="11"/>
      <c r="B620" s="12"/>
      <c r="C620" s="12"/>
      <c r="D620" s="12"/>
      <c r="E620" s="12"/>
      <c r="F620" s="12"/>
      <c r="G620" s="12"/>
      <c r="H620" s="12"/>
      <c r="I620" s="12"/>
      <c r="J620" s="12"/>
      <c r="K620" s="13"/>
      <c r="L620" s="9"/>
      <c r="M620" s="9"/>
      <c r="N620" s="9"/>
      <c r="O620" s="9"/>
      <c r="P620" s="9"/>
      <c r="Q620" s="9"/>
      <c r="R620" s="9"/>
      <c r="S620" s="9"/>
      <c r="T620" s="9"/>
      <c r="U620" s="9"/>
      <c r="V620" s="9"/>
      <c r="W620" s="9"/>
      <c r="X620" s="9"/>
      <c r="Y620" s="9"/>
      <c r="Z620" s="9"/>
      <c r="AA620" s="9"/>
      <c r="AB620" s="9"/>
      <c r="AC620" s="9"/>
      <c r="AD620" s="9"/>
    </row>
    <row r="621" spans="1:30" ht="14.25" customHeight="1">
      <c r="A621" s="11"/>
      <c r="B621" s="12"/>
      <c r="C621" s="12"/>
      <c r="D621" s="12"/>
      <c r="E621" s="12"/>
      <c r="F621" s="12"/>
      <c r="G621" s="12"/>
      <c r="H621" s="12"/>
      <c r="I621" s="12"/>
      <c r="J621" s="12"/>
      <c r="K621" s="13"/>
      <c r="L621" s="9"/>
      <c r="M621" s="9"/>
      <c r="N621" s="9"/>
      <c r="O621" s="9"/>
      <c r="P621" s="9"/>
      <c r="Q621" s="9"/>
      <c r="R621" s="9"/>
      <c r="S621" s="9"/>
      <c r="T621" s="9"/>
      <c r="U621" s="9"/>
      <c r="V621" s="9"/>
      <c r="W621" s="9"/>
      <c r="X621" s="9"/>
      <c r="Y621" s="9"/>
      <c r="Z621" s="9"/>
      <c r="AA621" s="9"/>
      <c r="AB621" s="9"/>
      <c r="AC621" s="9"/>
      <c r="AD621" s="9"/>
    </row>
    <row r="622" spans="1:30" ht="14.25" customHeight="1">
      <c r="A622" s="11"/>
      <c r="B622" s="12"/>
      <c r="C622" s="12"/>
      <c r="D622" s="12"/>
      <c r="E622" s="12"/>
      <c r="F622" s="12"/>
      <c r="G622" s="12"/>
      <c r="H622" s="12"/>
      <c r="I622" s="12"/>
      <c r="J622" s="12"/>
      <c r="K622" s="13"/>
      <c r="L622" s="9"/>
      <c r="M622" s="9"/>
      <c r="N622" s="9"/>
      <c r="O622" s="9"/>
      <c r="P622" s="9"/>
      <c r="Q622" s="9"/>
      <c r="R622" s="9"/>
      <c r="S622" s="9"/>
      <c r="T622" s="9"/>
      <c r="U622" s="9"/>
      <c r="V622" s="9"/>
      <c r="W622" s="9"/>
      <c r="X622" s="9"/>
      <c r="Y622" s="9"/>
      <c r="Z622" s="9"/>
      <c r="AA622" s="9"/>
      <c r="AB622" s="9"/>
      <c r="AC622" s="9"/>
      <c r="AD622" s="9"/>
    </row>
    <row r="623" spans="1:30" ht="14.25" customHeight="1">
      <c r="A623" s="11"/>
      <c r="B623" s="12"/>
      <c r="C623" s="12"/>
      <c r="D623" s="12"/>
      <c r="E623" s="12"/>
      <c r="F623" s="12"/>
      <c r="G623" s="12"/>
      <c r="H623" s="12"/>
      <c r="I623" s="12"/>
      <c r="J623" s="12"/>
      <c r="K623" s="13"/>
      <c r="L623" s="9"/>
      <c r="M623" s="9"/>
      <c r="N623" s="9"/>
      <c r="O623" s="9"/>
      <c r="P623" s="9"/>
      <c r="Q623" s="9"/>
      <c r="R623" s="9"/>
      <c r="S623" s="9"/>
      <c r="T623" s="9"/>
      <c r="U623" s="9"/>
      <c r="V623" s="9"/>
      <c r="W623" s="9"/>
      <c r="X623" s="9"/>
      <c r="Y623" s="9"/>
      <c r="Z623" s="9"/>
      <c r="AA623" s="9"/>
      <c r="AB623" s="9"/>
      <c r="AC623" s="9"/>
      <c r="AD623" s="9"/>
    </row>
    <row r="624" spans="1:30" ht="14.25" customHeight="1">
      <c r="A624" s="11"/>
      <c r="B624" s="12"/>
      <c r="C624" s="12"/>
      <c r="D624" s="12"/>
      <c r="E624" s="12"/>
      <c r="F624" s="12"/>
      <c r="G624" s="12"/>
      <c r="H624" s="12"/>
      <c r="I624" s="12"/>
      <c r="J624" s="12"/>
      <c r="K624" s="13"/>
      <c r="L624" s="9"/>
      <c r="M624" s="9"/>
      <c r="N624" s="9"/>
      <c r="O624" s="9"/>
      <c r="P624" s="9"/>
      <c r="Q624" s="9"/>
      <c r="R624" s="9"/>
      <c r="S624" s="9"/>
      <c r="T624" s="9"/>
      <c r="U624" s="9"/>
      <c r="V624" s="9"/>
      <c r="W624" s="9"/>
      <c r="X624" s="9"/>
      <c r="Y624" s="9"/>
      <c r="Z624" s="9"/>
      <c r="AA624" s="9"/>
      <c r="AB624" s="9"/>
      <c r="AC624" s="9"/>
      <c r="AD624" s="9"/>
    </row>
    <row r="625" spans="1:30" ht="14.25" customHeight="1">
      <c r="A625" s="11"/>
      <c r="B625" s="12"/>
      <c r="C625" s="12"/>
      <c r="D625" s="12"/>
      <c r="E625" s="12"/>
      <c r="F625" s="12"/>
      <c r="G625" s="12"/>
      <c r="H625" s="12"/>
      <c r="I625" s="12"/>
      <c r="J625" s="12"/>
      <c r="K625" s="13"/>
      <c r="L625" s="9"/>
      <c r="M625" s="9"/>
      <c r="N625" s="9"/>
      <c r="O625" s="9"/>
      <c r="P625" s="9"/>
      <c r="Q625" s="9"/>
      <c r="R625" s="9"/>
      <c r="S625" s="9"/>
      <c r="T625" s="9"/>
      <c r="U625" s="9"/>
      <c r="V625" s="9"/>
      <c r="W625" s="9"/>
      <c r="X625" s="9"/>
      <c r="Y625" s="9"/>
      <c r="Z625" s="9"/>
      <c r="AA625" s="9"/>
      <c r="AB625" s="9"/>
      <c r="AC625" s="9"/>
      <c r="AD625" s="9"/>
    </row>
    <row r="626" spans="1:30" ht="14.25" customHeight="1">
      <c r="A626" s="11"/>
      <c r="B626" s="12"/>
      <c r="C626" s="12"/>
      <c r="D626" s="12"/>
      <c r="E626" s="12"/>
      <c r="F626" s="12"/>
      <c r="G626" s="12"/>
      <c r="H626" s="12"/>
      <c r="I626" s="12"/>
      <c r="J626" s="12"/>
      <c r="K626" s="13"/>
      <c r="L626" s="9"/>
      <c r="M626" s="9"/>
      <c r="N626" s="9"/>
      <c r="O626" s="9"/>
      <c r="P626" s="9"/>
      <c r="Q626" s="9"/>
      <c r="R626" s="9"/>
      <c r="S626" s="9"/>
      <c r="T626" s="9"/>
      <c r="U626" s="9"/>
      <c r="V626" s="9"/>
      <c r="W626" s="9"/>
      <c r="X626" s="9"/>
      <c r="Y626" s="9"/>
      <c r="Z626" s="9"/>
      <c r="AA626" s="9"/>
      <c r="AB626" s="9"/>
      <c r="AC626" s="9"/>
      <c r="AD626" s="9"/>
    </row>
    <row r="627" spans="1:30" ht="14.25" customHeight="1">
      <c r="A627" s="11"/>
      <c r="B627" s="12"/>
      <c r="C627" s="12"/>
      <c r="D627" s="12"/>
      <c r="E627" s="12"/>
      <c r="F627" s="12"/>
      <c r="G627" s="12"/>
      <c r="H627" s="12"/>
      <c r="I627" s="12"/>
      <c r="J627" s="12"/>
      <c r="K627" s="13"/>
      <c r="L627" s="9"/>
      <c r="M627" s="9"/>
      <c r="N627" s="9"/>
      <c r="O627" s="9"/>
      <c r="P627" s="9"/>
      <c r="Q627" s="9"/>
      <c r="R627" s="9"/>
      <c r="S627" s="9"/>
      <c r="T627" s="9"/>
      <c r="U627" s="9"/>
      <c r="V627" s="9"/>
      <c r="W627" s="9"/>
      <c r="X627" s="9"/>
      <c r="Y627" s="9"/>
      <c r="Z627" s="9"/>
      <c r="AA627" s="9"/>
      <c r="AB627" s="9"/>
      <c r="AC627" s="9"/>
      <c r="AD627" s="9"/>
    </row>
    <row r="628" spans="1:30" ht="14.25" customHeight="1">
      <c r="A628" s="11"/>
      <c r="B628" s="12"/>
      <c r="C628" s="12"/>
      <c r="D628" s="12"/>
      <c r="E628" s="12"/>
      <c r="F628" s="12"/>
      <c r="G628" s="12"/>
      <c r="H628" s="12"/>
      <c r="I628" s="12"/>
      <c r="J628" s="12"/>
      <c r="K628" s="13"/>
      <c r="L628" s="9"/>
      <c r="M628" s="9"/>
      <c r="N628" s="9"/>
      <c r="O628" s="9"/>
      <c r="P628" s="9"/>
      <c r="Q628" s="9"/>
      <c r="R628" s="9"/>
      <c r="S628" s="9"/>
      <c r="T628" s="9"/>
      <c r="U628" s="9"/>
      <c r="V628" s="9"/>
      <c r="W628" s="9"/>
      <c r="X628" s="9"/>
      <c r="Y628" s="9"/>
      <c r="Z628" s="9"/>
      <c r="AA628" s="9"/>
      <c r="AB628" s="9"/>
      <c r="AC628" s="9"/>
      <c r="AD628" s="9"/>
    </row>
    <row r="629" spans="1:30" ht="14.25" customHeight="1">
      <c r="A629" s="11"/>
      <c r="B629" s="12"/>
      <c r="C629" s="12"/>
      <c r="D629" s="12"/>
      <c r="E629" s="12"/>
      <c r="F629" s="12"/>
      <c r="G629" s="12"/>
      <c r="H629" s="12"/>
      <c r="I629" s="12"/>
      <c r="J629" s="12"/>
      <c r="K629" s="13"/>
      <c r="L629" s="9"/>
      <c r="M629" s="9"/>
      <c r="N629" s="9"/>
      <c r="O629" s="9"/>
      <c r="P629" s="9"/>
      <c r="Q629" s="9"/>
      <c r="R629" s="9"/>
      <c r="S629" s="9"/>
      <c r="T629" s="9"/>
      <c r="U629" s="9"/>
      <c r="V629" s="9"/>
      <c r="W629" s="9"/>
      <c r="X629" s="9"/>
      <c r="Y629" s="9"/>
      <c r="Z629" s="9"/>
      <c r="AA629" s="9"/>
      <c r="AB629" s="9"/>
      <c r="AC629" s="9"/>
      <c r="AD629" s="9"/>
    </row>
    <row r="630" spans="1:30" ht="14.25" customHeight="1">
      <c r="A630" s="11"/>
      <c r="B630" s="12"/>
      <c r="C630" s="12"/>
      <c r="D630" s="12"/>
      <c r="E630" s="12"/>
      <c r="F630" s="12"/>
      <c r="G630" s="12"/>
      <c r="H630" s="12"/>
      <c r="I630" s="12"/>
      <c r="J630" s="12"/>
      <c r="K630" s="13"/>
      <c r="L630" s="9"/>
      <c r="M630" s="9"/>
      <c r="N630" s="9"/>
      <c r="O630" s="9"/>
      <c r="P630" s="9"/>
      <c r="Q630" s="9"/>
      <c r="R630" s="9"/>
      <c r="S630" s="9"/>
      <c r="T630" s="9"/>
      <c r="U630" s="9"/>
      <c r="V630" s="9"/>
      <c r="W630" s="9"/>
      <c r="X630" s="9"/>
      <c r="Y630" s="9"/>
      <c r="Z630" s="9"/>
      <c r="AA630" s="9"/>
      <c r="AB630" s="9"/>
      <c r="AC630" s="9"/>
      <c r="AD630" s="9"/>
    </row>
    <row r="631" spans="1:30" ht="14.25" customHeight="1">
      <c r="A631" s="11"/>
      <c r="B631" s="12"/>
      <c r="C631" s="12"/>
      <c r="D631" s="12"/>
      <c r="E631" s="12"/>
      <c r="F631" s="12"/>
      <c r="G631" s="12"/>
      <c r="H631" s="12"/>
      <c r="I631" s="12"/>
      <c r="J631" s="12"/>
      <c r="K631" s="13"/>
      <c r="L631" s="9"/>
      <c r="M631" s="9"/>
      <c r="N631" s="9"/>
      <c r="O631" s="9"/>
      <c r="P631" s="9"/>
      <c r="Q631" s="9"/>
      <c r="R631" s="9"/>
      <c r="S631" s="9"/>
      <c r="T631" s="9"/>
      <c r="U631" s="9"/>
      <c r="V631" s="9"/>
      <c r="W631" s="9"/>
      <c r="X631" s="9"/>
      <c r="Y631" s="9"/>
      <c r="Z631" s="9"/>
      <c r="AA631" s="9"/>
      <c r="AB631" s="9"/>
      <c r="AC631" s="9"/>
      <c r="AD631" s="9"/>
    </row>
    <row r="632" spans="1:30" ht="14.25" customHeight="1">
      <c r="A632" s="11"/>
      <c r="B632" s="12"/>
      <c r="C632" s="12"/>
      <c r="D632" s="12"/>
      <c r="E632" s="12"/>
      <c r="F632" s="12"/>
      <c r="G632" s="12"/>
      <c r="H632" s="12"/>
      <c r="I632" s="12"/>
      <c r="J632" s="12"/>
      <c r="K632" s="13"/>
      <c r="L632" s="9"/>
      <c r="M632" s="9"/>
      <c r="N632" s="9"/>
      <c r="O632" s="9"/>
      <c r="P632" s="9"/>
      <c r="Q632" s="9"/>
      <c r="R632" s="9"/>
      <c r="S632" s="9"/>
      <c r="T632" s="9"/>
      <c r="U632" s="9"/>
      <c r="V632" s="9"/>
      <c r="W632" s="9"/>
      <c r="X632" s="9"/>
      <c r="Y632" s="9"/>
      <c r="Z632" s="9"/>
      <c r="AA632" s="9"/>
      <c r="AB632" s="9"/>
      <c r="AC632" s="9"/>
      <c r="AD632" s="9"/>
    </row>
    <row r="633" spans="1:30" ht="14.25" customHeight="1">
      <c r="A633" s="11"/>
      <c r="B633" s="12"/>
      <c r="C633" s="12"/>
      <c r="D633" s="12"/>
      <c r="E633" s="12"/>
      <c r="F633" s="12"/>
      <c r="G633" s="12"/>
      <c r="H633" s="12"/>
      <c r="I633" s="12"/>
      <c r="J633" s="12"/>
      <c r="K633" s="13"/>
      <c r="L633" s="9"/>
      <c r="M633" s="9"/>
      <c r="N633" s="9"/>
      <c r="O633" s="9"/>
      <c r="P633" s="9"/>
      <c r="Q633" s="9"/>
      <c r="R633" s="9"/>
      <c r="S633" s="9"/>
      <c r="T633" s="9"/>
      <c r="U633" s="9"/>
      <c r="V633" s="9"/>
      <c r="W633" s="9"/>
      <c r="X633" s="9"/>
      <c r="Y633" s="9"/>
      <c r="Z633" s="9"/>
      <c r="AA633" s="9"/>
      <c r="AB633" s="9"/>
      <c r="AC633" s="9"/>
      <c r="AD633" s="9"/>
    </row>
    <row r="634" spans="1:30" ht="14.25" customHeight="1">
      <c r="A634" s="11"/>
      <c r="B634" s="12"/>
      <c r="C634" s="12"/>
      <c r="D634" s="12"/>
      <c r="E634" s="12"/>
      <c r="F634" s="12"/>
      <c r="G634" s="12"/>
      <c r="H634" s="12"/>
      <c r="I634" s="12"/>
      <c r="J634" s="12"/>
      <c r="K634" s="13"/>
      <c r="L634" s="9"/>
      <c r="M634" s="9"/>
      <c r="N634" s="9"/>
      <c r="O634" s="9"/>
      <c r="P634" s="9"/>
      <c r="Q634" s="9"/>
      <c r="R634" s="9"/>
      <c r="S634" s="9"/>
      <c r="T634" s="9"/>
      <c r="U634" s="9"/>
      <c r="V634" s="9"/>
      <c r="W634" s="9"/>
      <c r="X634" s="9"/>
      <c r="Y634" s="9"/>
      <c r="Z634" s="9"/>
      <c r="AA634" s="9"/>
      <c r="AB634" s="9"/>
      <c r="AC634" s="9"/>
      <c r="AD634" s="9"/>
    </row>
    <row r="635" spans="1:30" ht="14.25" customHeight="1">
      <c r="A635" s="11"/>
      <c r="B635" s="12"/>
      <c r="C635" s="12"/>
      <c r="D635" s="12"/>
      <c r="E635" s="12"/>
      <c r="F635" s="12"/>
      <c r="G635" s="12"/>
      <c r="H635" s="12"/>
      <c r="I635" s="12"/>
      <c r="J635" s="12"/>
      <c r="K635" s="13"/>
      <c r="L635" s="9"/>
      <c r="M635" s="9"/>
      <c r="N635" s="9"/>
      <c r="O635" s="9"/>
      <c r="P635" s="9"/>
      <c r="Q635" s="9"/>
      <c r="R635" s="9"/>
      <c r="S635" s="9"/>
      <c r="T635" s="9"/>
      <c r="U635" s="9"/>
      <c r="V635" s="9"/>
      <c r="W635" s="9"/>
      <c r="X635" s="9"/>
      <c r="Y635" s="9"/>
      <c r="Z635" s="9"/>
      <c r="AA635" s="9"/>
      <c r="AB635" s="9"/>
      <c r="AC635" s="9"/>
      <c r="AD635" s="9"/>
    </row>
    <row r="636" spans="1:30" ht="14.25" customHeight="1">
      <c r="A636" s="11"/>
      <c r="B636" s="12"/>
      <c r="C636" s="12"/>
      <c r="D636" s="12"/>
      <c r="E636" s="12"/>
      <c r="F636" s="12"/>
      <c r="G636" s="12"/>
      <c r="H636" s="12"/>
      <c r="I636" s="12"/>
      <c r="J636" s="12"/>
      <c r="K636" s="13"/>
      <c r="L636" s="9"/>
      <c r="M636" s="9"/>
      <c r="N636" s="9"/>
      <c r="O636" s="9"/>
      <c r="P636" s="9"/>
      <c r="Q636" s="9"/>
      <c r="R636" s="9"/>
      <c r="S636" s="9"/>
      <c r="T636" s="9"/>
      <c r="U636" s="9"/>
      <c r="V636" s="9"/>
      <c r="W636" s="9"/>
      <c r="X636" s="9"/>
      <c r="Y636" s="9"/>
      <c r="Z636" s="9"/>
      <c r="AA636" s="9"/>
      <c r="AB636" s="9"/>
      <c r="AC636" s="9"/>
      <c r="AD636" s="9"/>
    </row>
    <row r="637" spans="1:30" ht="14.25" customHeight="1">
      <c r="A637" s="11"/>
      <c r="B637" s="12"/>
      <c r="C637" s="12"/>
      <c r="D637" s="12"/>
      <c r="E637" s="12"/>
      <c r="F637" s="12"/>
      <c r="G637" s="12"/>
      <c r="H637" s="12"/>
      <c r="I637" s="12"/>
      <c r="J637" s="12"/>
      <c r="K637" s="13"/>
      <c r="L637" s="9"/>
      <c r="M637" s="9"/>
      <c r="N637" s="9"/>
      <c r="O637" s="9"/>
      <c r="P637" s="9"/>
      <c r="Q637" s="9"/>
      <c r="R637" s="9"/>
      <c r="S637" s="9"/>
      <c r="T637" s="9"/>
      <c r="U637" s="9"/>
      <c r="V637" s="9"/>
      <c r="W637" s="9"/>
      <c r="X637" s="9"/>
      <c r="Y637" s="9"/>
      <c r="Z637" s="9"/>
      <c r="AA637" s="9"/>
      <c r="AB637" s="9"/>
      <c r="AC637" s="9"/>
      <c r="AD637" s="9"/>
    </row>
    <row r="638" spans="1:30" ht="14.25" customHeight="1">
      <c r="A638" s="11"/>
      <c r="B638" s="12"/>
      <c r="C638" s="12"/>
      <c r="D638" s="12"/>
      <c r="E638" s="12"/>
      <c r="F638" s="12"/>
      <c r="G638" s="12"/>
      <c r="H638" s="12"/>
      <c r="I638" s="12"/>
      <c r="J638" s="12"/>
      <c r="K638" s="13"/>
      <c r="L638" s="9"/>
      <c r="M638" s="9"/>
      <c r="N638" s="9"/>
      <c r="O638" s="9"/>
      <c r="P638" s="9"/>
      <c r="Q638" s="9"/>
      <c r="R638" s="9"/>
      <c r="S638" s="9"/>
      <c r="T638" s="9"/>
      <c r="U638" s="9"/>
      <c r="V638" s="9"/>
      <c r="W638" s="9"/>
      <c r="X638" s="9"/>
      <c r="Y638" s="9"/>
      <c r="Z638" s="9"/>
      <c r="AA638" s="9"/>
      <c r="AB638" s="9"/>
      <c r="AC638" s="9"/>
      <c r="AD638" s="9"/>
    </row>
    <row r="639" spans="1:30" ht="14.25" customHeight="1">
      <c r="A639" s="11"/>
      <c r="B639" s="12"/>
      <c r="C639" s="12"/>
      <c r="D639" s="12"/>
      <c r="E639" s="12"/>
      <c r="F639" s="12"/>
      <c r="G639" s="12"/>
      <c r="H639" s="12"/>
      <c r="I639" s="12"/>
      <c r="J639" s="12"/>
      <c r="K639" s="13"/>
      <c r="L639" s="9"/>
      <c r="M639" s="9"/>
      <c r="N639" s="9"/>
      <c r="O639" s="9"/>
      <c r="P639" s="9"/>
      <c r="Q639" s="9"/>
      <c r="R639" s="9"/>
      <c r="S639" s="9"/>
      <c r="T639" s="9"/>
      <c r="U639" s="9"/>
      <c r="V639" s="9"/>
      <c r="W639" s="9"/>
      <c r="X639" s="9"/>
      <c r="Y639" s="9"/>
      <c r="Z639" s="9"/>
      <c r="AA639" s="9"/>
      <c r="AB639" s="9"/>
      <c r="AC639" s="9"/>
      <c r="AD639" s="9"/>
    </row>
    <row r="640" spans="1:30" ht="14.25" customHeight="1">
      <c r="A640" s="11"/>
      <c r="B640" s="12"/>
      <c r="C640" s="12"/>
      <c r="D640" s="12"/>
      <c r="E640" s="12"/>
      <c r="F640" s="12"/>
      <c r="G640" s="12"/>
      <c r="H640" s="12"/>
      <c r="I640" s="12"/>
      <c r="J640" s="12"/>
      <c r="K640" s="13"/>
      <c r="L640" s="9"/>
      <c r="M640" s="9"/>
      <c r="N640" s="9"/>
      <c r="O640" s="9"/>
      <c r="P640" s="9"/>
      <c r="Q640" s="9"/>
      <c r="R640" s="9"/>
      <c r="S640" s="9"/>
      <c r="T640" s="9"/>
      <c r="U640" s="9"/>
      <c r="V640" s="9"/>
      <c r="W640" s="9"/>
      <c r="X640" s="9"/>
      <c r="Y640" s="9"/>
      <c r="Z640" s="9"/>
      <c r="AA640" s="9"/>
      <c r="AB640" s="9"/>
      <c r="AC640" s="9"/>
      <c r="AD640" s="9"/>
    </row>
    <row r="641" spans="1:30" ht="14.25" customHeight="1">
      <c r="A641" s="11"/>
      <c r="B641" s="12"/>
      <c r="C641" s="12"/>
      <c r="D641" s="12"/>
      <c r="E641" s="12"/>
      <c r="F641" s="12"/>
      <c r="G641" s="12"/>
      <c r="H641" s="12"/>
      <c r="I641" s="12"/>
      <c r="J641" s="12"/>
      <c r="K641" s="13"/>
      <c r="L641" s="9"/>
      <c r="M641" s="9"/>
      <c r="N641" s="9"/>
      <c r="O641" s="9"/>
      <c r="P641" s="9"/>
      <c r="Q641" s="9"/>
      <c r="R641" s="9"/>
      <c r="S641" s="9"/>
      <c r="T641" s="9"/>
      <c r="U641" s="9"/>
      <c r="V641" s="9"/>
      <c r="W641" s="9"/>
      <c r="X641" s="9"/>
      <c r="Y641" s="9"/>
      <c r="Z641" s="9"/>
      <c r="AA641" s="9"/>
      <c r="AB641" s="9"/>
      <c r="AC641" s="9"/>
      <c r="AD641" s="9"/>
    </row>
    <row r="642" spans="1:30" ht="14.25" customHeight="1">
      <c r="A642" s="11"/>
      <c r="B642" s="12"/>
      <c r="C642" s="12"/>
      <c r="D642" s="12"/>
      <c r="E642" s="12"/>
      <c r="F642" s="12"/>
      <c r="G642" s="12"/>
      <c r="H642" s="12"/>
      <c r="I642" s="12"/>
      <c r="J642" s="12"/>
      <c r="K642" s="13"/>
      <c r="L642" s="9"/>
      <c r="M642" s="9"/>
      <c r="N642" s="9"/>
      <c r="O642" s="9"/>
      <c r="P642" s="9"/>
      <c r="Q642" s="9"/>
      <c r="R642" s="9"/>
      <c r="S642" s="9"/>
      <c r="T642" s="9"/>
      <c r="U642" s="9"/>
      <c r="V642" s="9"/>
      <c r="W642" s="9"/>
      <c r="X642" s="9"/>
      <c r="Y642" s="9"/>
      <c r="Z642" s="9"/>
      <c r="AA642" s="9"/>
      <c r="AB642" s="9"/>
      <c r="AC642" s="9"/>
      <c r="AD642" s="9"/>
    </row>
    <row r="643" spans="1:30" ht="14.25" customHeight="1">
      <c r="A643" s="11"/>
      <c r="B643" s="12"/>
      <c r="C643" s="12"/>
      <c r="D643" s="12"/>
      <c r="E643" s="12"/>
      <c r="F643" s="12"/>
      <c r="G643" s="12"/>
      <c r="H643" s="12"/>
      <c r="I643" s="12"/>
      <c r="J643" s="12"/>
      <c r="K643" s="13"/>
      <c r="L643" s="9"/>
      <c r="M643" s="9"/>
      <c r="N643" s="9"/>
      <c r="O643" s="9"/>
      <c r="P643" s="9"/>
      <c r="Q643" s="9"/>
      <c r="R643" s="9"/>
      <c r="S643" s="9"/>
      <c r="T643" s="9"/>
      <c r="U643" s="9"/>
      <c r="V643" s="9"/>
      <c r="W643" s="9"/>
      <c r="X643" s="9"/>
      <c r="Y643" s="9"/>
      <c r="Z643" s="9"/>
      <c r="AA643" s="9"/>
      <c r="AB643" s="9"/>
      <c r="AC643" s="9"/>
      <c r="AD643" s="9"/>
    </row>
    <row r="644" spans="1:30" ht="14.25" customHeight="1">
      <c r="A644" s="11"/>
      <c r="B644" s="12"/>
      <c r="C644" s="12"/>
      <c r="D644" s="12"/>
      <c r="E644" s="12"/>
      <c r="F644" s="12"/>
      <c r="G644" s="12"/>
      <c r="H644" s="12"/>
      <c r="I644" s="12"/>
      <c r="J644" s="12"/>
      <c r="K644" s="13"/>
      <c r="L644" s="9"/>
      <c r="M644" s="9"/>
      <c r="N644" s="9"/>
      <c r="O644" s="9"/>
      <c r="P644" s="9"/>
      <c r="Q644" s="9"/>
      <c r="R644" s="9"/>
      <c r="S644" s="9"/>
      <c r="T644" s="9"/>
      <c r="U644" s="9"/>
      <c r="V644" s="9"/>
      <c r="W644" s="9"/>
      <c r="X644" s="9"/>
      <c r="Y644" s="9"/>
      <c r="Z644" s="9"/>
      <c r="AA644" s="9"/>
      <c r="AB644" s="9"/>
      <c r="AC644" s="9"/>
      <c r="AD644" s="9"/>
    </row>
    <row r="645" spans="1:30" ht="14.25" customHeight="1">
      <c r="A645" s="11"/>
      <c r="B645" s="12"/>
      <c r="C645" s="12"/>
      <c r="D645" s="12"/>
      <c r="E645" s="12"/>
      <c r="F645" s="12"/>
      <c r="G645" s="12"/>
      <c r="H645" s="12"/>
      <c r="I645" s="12"/>
      <c r="J645" s="12"/>
      <c r="K645" s="13"/>
      <c r="L645" s="9"/>
      <c r="M645" s="9"/>
      <c r="N645" s="9"/>
      <c r="O645" s="9"/>
      <c r="P645" s="9"/>
      <c r="Q645" s="9"/>
      <c r="R645" s="9"/>
      <c r="S645" s="9"/>
      <c r="T645" s="9"/>
      <c r="U645" s="9"/>
      <c r="V645" s="9"/>
      <c r="W645" s="9"/>
      <c r="X645" s="9"/>
      <c r="Y645" s="9"/>
      <c r="Z645" s="9"/>
      <c r="AA645" s="9"/>
      <c r="AB645" s="9"/>
      <c r="AC645" s="9"/>
      <c r="AD645" s="9"/>
    </row>
    <row r="646" spans="1:30" ht="14.25" customHeight="1">
      <c r="A646" s="11"/>
      <c r="B646" s="12"/>
      <c r="C646" s="12"/>
      <c r="D646" s="12"/>
      <c r="E646" s="12"/>
      <c r="F646" s="12"/>
      <c r="G646" s="12"/>
      <c r="H646" s="12"/>
      <c r="I646" s="12"/>
      <c r="J646" s="12"/>
      <c r="K646" s="13"/>
      <c r="L646" s="9"/>
      <c r="M646" s="9"/>
      <c r="N646" s="9"/>
      <c r="O646" s="9"/>
      <c r="P646" s="9"/>
      <c r="Q646" s="9"/>
      <c r="R646" s="9"/>
      <c r="S646" s="9"/>
      <c r="T646" s="9"/>
      <c r="U646" s="9"/>
      <c r="V646" s="9"/>
      <c r="W646" s="9"/>
      <c r="X646" s="9"/>
      <c r="Y646" s="9"/>
      <c r="Z646" s="9"/>
      <c r="AA646" s="9"/>
      <c r="AB646" s="9"/>
      <c r="AC646" s="9"/>
      <c r="AD646" s="9"/>
    </row>
    <row r="647" spans="1:30" ht="14.25" customHeight="1">
      <c r="A647" s="11"/>
      <c r="B647" s="12"/>
      <c r="C647" s="12"/>
      <c r="D647" s="12"/>
      <c r="E647" s="12"/>
      <c r="F647" s="12"/>
      <c r="G647" s="12"/>
      <c r="H647" s="12"/>
      <c r="I647" s="12"/>
      <c r="J647" s="12"/>
      <c r="K647" s="13"/>
      <c r="L647" s="9"/>
      <c r="M647" s="9"/>
      <c r="N647" s="9"/>
      <c r="O647" s="9"/>
      <c r="P647" s="9"/>
      <c r="Q647" s="9"/>
      <c r="R647" s="9"/>
      <c r="S647" s="9"/>
      <c r="T647" s="9"/>
      <c r="U647" s="9"/>
      <c r="V647" s="9"/>
      <c r="W647" s="9"/>
      <c r="X647" s="9"/>
      <c r="Y647" s="9"/>
      <c r="Z647" s="9"/>
      <c r="AA647" s="9"/>
      <c r="AB647" s="9"/>
      <c r="AC647" s="9"/>
      <c r="AD647" s="9"/>
    </row>
    <row r="648" spans="1:30" ht="14.25" customHeight="1">
      <c r="A648" s="11"/>
      <c r="B648" s="12"/>
      <c r="C648" s="12"/>
      <c r="D648" s="12"/>
      <c r="E648" s="12"/>
      <c r="F648" s="12"/>
      <c r="G648" s="12"/>
      <c r="H648" s="12"/>
      <c r="I648" s="12"/>
      <c r="J648" s="12"/>
      <c r="K648" s="13"/>
      <c r="L648" s="9"/>
      <c r="M648" s="9"/>
      <c r="N648" s="9"/>
      <c r="O648" s="9"/>
      <c r="P648" s="9"/>
      <c r="Q648" s="9"/>
      <c r="R648" s="9"/>
      <c r="S648" s="9"/>
      <c r="T648" s="9"/>
      <c r="U648" s="9"/>
      <c r="V648" s="9"/>
      <c r="W648" s="9"/>
      <c r="X648" s="9"/>
      <c r="Y648" s="9"/>
      <c r="Z648" s="9"/>
      <c r="AA648" s="9"/>
      <c r="AB648" s="9"/>
      <c r="AC648" s="9"/>
      <c r="AD648" s="9"/>
    </row>
    <row r="649" spans="1:30" ht="14.25" customHeight="1">
      <c r="A649" s="11"/>
      <c r="B649" s="12"/>
      <c r="C649" s="12"/>
      <c r="D649" s="12"/>
      <c r="E649" s="12"/>
      <c r="F649" s="12"/>
      <c r="G649" s="12"/>
      <c r="H649" s="12"/>
      <c r="I649" s="12"/>
      <c r="J649" s="12"/>
      <c r="K649" s="13"/>
      <c r="L649" s="9"/>
      <c r="M649" s="9"/>
      <c r="N649" s="9"/>
      <c r="O649" s="9"/>
      <c r="P649" s="9"/>
      <c r="Q649" s="9"/>
      <c r="R649" s="9"/>
      <c r="S649" s="9"/>
      <c r="T649" s="9"/>
      <c r="U649" s="9"/>
      <c r="V649" s="9"/>
      <c r="W649" s="9"/>
      <c r="X649" s="9"/>
      <c r="Y649" s="9"/>
      <c r="Z649" s="9"/>
      <c r="AA649" s="9"/>
      <c r="AB649" s="9"/>
      <c r="AC649" s="9"/>
      <c r="AD649" s="9"/>
    </row>
    <row r="650" spans="1:30" ht="14.25" customHeight="1">
      <c r="A650" s="11"/>
      <c r="B650" s="12"/>
      <c r="C650" s="12"/>
      <c r="D650" s="12"/>
      <c r="E650" s="12"/>
      <c r="F650" s="12"/>
      <c r="G650" s="12"/>
      <c r="H650" s="12"/>
      <c r="I650" s="12"/>
      <c r="J650" s="12"/>
      <c r="K650" s="13"/>
      <c r="L650" s="9"/>
      <c r="M650" s="9"/>
      <c r="N650" s="9"/>
      <c r="O650" s="9"/>
      <c r="P650" s="9"/>
      <c r="Q650" s="9"/>
      <c r="R650" s="9"/>
      <c r="S650" s="9"/>
      <c r="T650" s="9"/>
      <c r="U650" s="9"/>
      <c r="V650" s="9"/>
      <c r="W650" s="9"/>
      <c r="X650" s="9"/>
      <c r="Y650" s="9"/>
      <c r="Z650" s="9"/>
      <c r="AA650" s="9"/>
      <c r="AB650" s="9"/>
      <c r="AC650" s="9"/>
      <c r="AD650" s="9"/>
    </row>
    <row r="651" spans="1:30" ht="14.25" customHeight="1">
      <c r="A651" s="11"/>
      <c r="B651" s="12"/>
      <c r="C651" s="12"/>
      <c r="D651" s="12"/>
      <c r="E651" s="12"/>
      <c r="F651" s="12"/>
      <c r="G651" s="12"/>
      <c r="H651" s="12"/>
      <c r="I651" s="12"/>
      <c r="J651" s="12"/>
      <c r="K651" s="13"/>
      <c r="L651" s="9"/>
      <c r="M651" s="9"/>
      <c r="N651" s="9"/>
      <c r="O651" s="9"/>
      <c r="P651" s="9"/>
      <c r="Q651" s="9"/>
      <c r="R651" s="9"/>
      <c r="S651" s="9"/>
      <c r="T651" s="9"/>
      <c r="U651" s="9"/>
      <c r="V651" s="9"/>
      <c r="W651" s="9"/>
      <c r="X651" s="9"/>
      <c r="Y651" s="9"/>
      <c r="Z651" s="9"/>
      <c r="AA651" s="9"/>
      <c r="AB651" s="9"/>
      <c r="AC651" s="9"/>
      <c r="AD651" s="9"/>
    </row>
    <row r="652" spans="1:30" ht="14.25" customHeight="1">
      <c r="A652" s="11"/>
      <c r="B652" s="12"/>
      <c r="C652" s="12"/>
      <c r="D652" s="12"/>
      <c r="E652" s="12"/>
      <c r="F652" s="12"/>
      <c r="G652" s="12"/>
      <c r="H652" s="12"/>
      <c r="I652" s="12"/>
      <c r="J652" s="12"/>
      <c r="K652" s="13"/>
      <c r="L652" s="9"/>
      <c r="M652" s="9"/>
      <c r="N652" s="9"/>
      <c r="O652" s="9"/>
      <c r="P652" s="9"/>
      <c r="Q652" s="9"/>
      <c r="R652" s="9"/>
      <c r="S652" s="9"/>
      <c r="T652" s="9"/>
      <c r="U652" s="9"/>
      <c r="V652" s="9"/>
      <c r="W652" s="9"/>
      <c r="X652" s="9"/>
      <c r="Y652" s="9"/>
      <c r="Z652" s="9"/>
      <c r="AA652" s="9"/>
      <c r="AB652" s="9"/>
      <c r="AC652" s="9"/>
      <c r="AD652" s="9"/>
    </row>
    <row r="653" spans="1:30" ht="14.25" customHeight="1">
      <c r="A653" s="11"/>
      <c r="B653" s="12"/>
      <c r="C653" s="12"/>
      <c r="D653" s="12"/>
      <c r="E653" s="12"/>
      <c r="F653" s="12"/>
      <c r="G653" s="12"/>
      <c r="H653" s="12"/>
      <c r="I653" s="12"/>
      <c r="J653" s="12"/>
      <c r="K653" s="13"/>
      <c r="L653" s="9"/>
      <c r="M653" s="9"/>
      <c r="N653" s="9"/>
      <c r="O653" s="9"/>
      <c r="P653" s="9"/>
      <c r="Q653" s="9"/>
      <c r="R653" s="9"/>
      <c r="S653" s="9"/>
      <c r="T653" s="9"/>
      <c r="U653" s="9"/>
      <c r="V653" s="9"/>
      <c r="W653" s="9"/>
      <c r="X653" s="9"/>
      <c r="Y653" s="9"/>
      <c r="Z653" s="9"/>
      <c r="AA653" s="9"/>
      <c r="AB653" s="9"/>
      <c r="AC653" s="9"/>
      <c r="AD653" s="9"/>
    </row>
    <row r="654" spans="1:30" ht="14.25" customHeight="1">
      <c r="A654" s="11"/>
      <c r="B654" s="12"/>
      <c r="C654" s="12"/>
      <c r="D654" s="12"/>
      <c r="E654" s="12"/>
      <c r="F654" s="12"/>
      <c r="G654" s="12"/>
      <c r="H654" s="12"/>
      <c r="I654" s="12"/>
      <c r="J654" s="12"/>
      <c r="K654" s="13"/>
      <c r="L654" s="9"/>
      <c r="M654" s="9"/>
      <c r="N654" s="9"/>
      <c r="O654" s="9"/>
      <c r="P654" s="9"/>
      <c r="Q654" s="9"/>
      <c r="R654" s="9"/>
      <c r="S654" s="9"/>
      <c r="T654" s="9"/>
      <c r="U654" s="9"/>
      <c r="V654" s="9"/>
      <c r="W654" s="9"/>
      <c r="X654" s="9"/>
      <c r="Y654" s="9"/>
      <c r="Z654" s="9"/>
      <c r="AA654" s="9"/>
      <c r="AB654" s="9"/>
      <c r="AC654" s="9"/>
      <c r="AD654" s="9"/>
    </row>
    <row r="655" spans="1:30" ht="14.25" customHeight="1">
      <c r="A655" s="11"/>
      <c r="B655" s="12"/>
      <c r="C655" s="12"/>
      <c r="D655" s="12"/>
      <c r="E655" s="12"/>
      <c r="F655" s="12"/>
      <c r="G655" s="12"/>
      <c r="H655" s="12"/>
      <c r="I655" s="12"/>
      <c r="J655" s="12"/>
      <c r="K655" s="13"/>
      <c r="L655" s="9"/>
      <c r="M655" s="9"/>
      <c r="N655" s="9"/>
      <c r="O655" s="9"/>
      <c r="P655" s="9"/>
      <c r="Q655" s="9"/>
      <c r="R655" s="9"/>
      <c r="S655" s="9"/>
      <c r="T655" s="9"/>
      <c r="U655" s="9"/>
      <c r="V655" s="9"/>
      <c r="W655" s="9"/>
      <c r="X655" s="9"/>
      <c r="Y655" s="9"/>
      <c r="Z655" s="9"/>
      <c r="AA655" s="9"/>
      <c r="AB655" s="9"/>
      <c r="AC655" s="9"/>
      <c r="AD655" s="9"/>
    </row>
    <row r="656" spans="1:30" ht="14.25" customHeight="1">
      <c r="A656" s="11"/>
      <c r="B656" s="12"/>
      <c r="C656" s="12"/>
      <c r="D656" s="12"/>
      <c r="E656" s="12"/>
      <c r="F656" s="12"/>
      <c r="G656" s="12"/>
      <c r="H656" s="12"/>
      <c r="I656" s="12"/>
      <c r="J656" s="12"/>
      <c r="K656" s="13"/>
      <c r="L656" s="9"/>
      <c r="M656" s="9"/>
      <c r="N656" s="9"/>
      <c r="O656" s="9"/>
      <c r="P656" s="9"/>
      <c r="Q656" s="9"/>
      <c r="R656" s="9"/>
      <c r="S656" s="9"/>
      <c r="T656" s="9"/>
      <c r="U656" s="9"/>
      <c r="V656" s="9"/>
      <c r="W656" s="9"/>
      <c r="X656" s="9"/>
      <c r="Y656" s="9"/>
      <c r="Z656" s="9"/>
      <c r="AA656" s="9"/>
      <c r="AB656" s="9"/>
      <c r="AC656" s="9"/>
      <c r="AD656" s="9"/>
    </row>
    <row r="657" spans="1:30" ht="14.25" customHeight="1">
      <c r="A657" s="11"/>
      <c r="B657" s="12"/>
      <c r="C657" s="12"/>
      <c r="D657" s="12"/>
      <c r="E657" s="12"/>
      <c r="F657" s="12"/>
      <c r="G657" s="12"/>
      <c r="H657" s="12"/>
      <c r="I657" s="12"/>
      <c r="J657" s="12"/>
      <c r="K657" s="13"/>
      <c r="L657" s="9"/>
      <c r="M657" s="9"/>
      <c r="N657" s="9"/>
      <c r="O657" s="9"/>
      <c r="P657" s="9"/>
      <c r="Q657" s="9"/>
      <c r="R657" s="9"/>
      <c r="S657" s="9"/>
      <c r="T657" s="9"/>
      <c r="U657" s="9"/>
      <c r="V657" s="9"/>
      <c r="W657" s="9"/>
      <c r="X657" s="9"/>
      <c r="Y657" s="9"/>
      <c r="Z657" s="9"/>
      <c r="AA657" s="9"/>
      <c r="AB657" s="9"/>
      <c r="AC657" s="9"/>
      <c r="AD657" s="9"/>
    </row>
    <row r="658" spans="1:30" ht="14.25" customHeight="1">
      <c r="A658" s="11"/>
      <c r="B658" s="12"/>
      <c r="C658" s="12"/>
      <c r="D658" s="12"/>
      <c r="E658" s="12"/>
      <c r="F658" s="12"/>
      <c r="G658" s="12"/>
      <c r="H658" s="12"/>
      <c r="I658" s="12"/>
      <c r="J658" s="12"/>
      <c r="K658" s="13"/>
      <c r="L658" s="9"/>
      <c r="M658" s="9"/>
      <c r="N658" s="9"/>
      <c r="O658" s="9"/>
      <c r="P658" s="9"/>
      <c r="Q658" s="9"/>
      <c r="R658" s="9"/>
      <c r="S658" s="9"/>
      <c r="T658" s="9"/>
      <c r="U658" s="9"/>
      <c r="V658" s="9"/>
      <c r="W658" s="9"/>
      <c r="X658" s="9"/>
      <c r="Y658" s="9"/>
      <c r="Z658" s="9"/>
      <c r="AA658" s="9"/>
      <c r="AB658" s="9"/>
      <c r="AC658" s="9"/>
      <c r="AD658" s="9"/>
    </row>
    <row r="659" spans="1:30" ht="14.25" customHeight="1">
      <c r="A659" s="11"/>
      <c r="B659" s="12"/>
      <c r="C659" s="12"/>
      <c r="D659" s="12"/>
      <c r="E659" s="12"/>
      <c r="F659" s="12"/>
      <c r="G659" s="12"/>
      <c r="H659" s="12"/>
      <c r="I659" s="12"/>
      <c r="J659" s="12"/>
      <c r="K659" s="13"/>
      <c r="L659" s="9"/>
      <c r="M659" s="9"/>
      <c r="N659" s="9"/>
      <c r="O659" s="9"/>
      <c r="P659" s="9"/>
      <c r="Q659" s="9"/>
      <c r="R659" s="9"/>
      <c r="S659" s="9"/>
      <c r="T659" s="9"/>
      <c r="U659" s="9"/>
      <c r="V659" s="9"/>
      <c r="W659" s="9"/>
      <c r="X659" s="9"/>
      <c r="Y659" s="9"/>
      <c r="Z659" s="9"/>
      <c r="AA659" s="9"/>
      <c r="AB659" s="9"/>
      <c r="AC659" s="9"/>
      <c r="AD659" s="9"/>
    </row>
    <row r="660" spans="1:30" ht="14.25" customHeight="1">
      <c r="A660" s="11"/>
      <c r="B660" s="12"/>
      <c r="C660" s="12"/>
      <c r="D660" s="12"/>
      <c r="E660" s="12"/>
      <c r="F660" s="12"/>
      <c r="G660" s="12"/>
      <c r="H660" s="12"/>
      <c r="I660" s="12"/>
      <c r="J660" s="12"/>
      <c r="K660" s="13"/>
      <c r="L660" s="9"/>
      <c r="M660" s="9"/>
      <c r="N660" s="9"/>
      <c r="O660" s="9"/>
      <c r="P660" s="9"/>
      <c r="Q660" s="9"/>
      <c r="R660" s="9"/>
      <c r="S660" s="9"/>
      <c r="T660" s="9"/>
      <c r="U660" s="9"/>
      <c r="V660" s="9"/>
      <c r="W660" s="9"/>
      <c r="X660" s="9"/>
      <c r="Y660" s="9"/>
      <c r="Z660" s="9"/>
      <c r="AA660" s="9"/>
      <c r="AB660" s="9"/>
      <c r="AC660" s="9"/>
      <c r="AD660" s="9"/>
    </row>
    <row r="661" spans="1:30" ht="14.25" customHeight="1">
      <c r="A661" s="11"/>
      <c r="B661" s="12"/>
      <c r="C661" s="12"/>
      <c r="D661" s="12"/>
      <c r="E661" s="12"/>
      <c r="F661" s="12"/>
      <c r="G661" s="12"/>
      <c r="H661" s="12"/>
      <c r="I661" s="12"/>
      <c r="J661" s="12"/>
      <c r="K661" s="13"/>
      <c r="L661" s="9"/>
      <c r="M661" s="9"/>
      <c r="N661" s="9"/>
      <c r="O661" s="9"/>
      <c r="P661" s="9"/>
      <c r="Q661" s="9"/>
      <c r="R661" s="9"/>
      <c r="S661" s="9"/>
      <c r="T661" s="9"/>
      <c r="U661" s="9"/>
      <c r="V661" s="9"/>
      <c r="W661" s="9"/>
      <c r="X661" s="9"/>
      <c r="Y661" s="9"/>
      <c r="Z661" s="9"/>
      <c r="AA661" s="9"/>
      <c r="AB661" s="9"/>
      <c r="AC661" s="9"/>
      <c r="AD661" s="9"/>
    </row>
    <row r="662" spans="1:30" ht="14.25" customHeight="1">
      <c r="A662" s="11"/>
      <c r="B662" s="12"/>
      <c r="C662" s="12"/>
      <c r="D662" s="12"/>
      <c r="E662" s="12"/>
      <c r="F662" s="12"/>
      <c r="G662" s="12"/>
      <c r="H662" s="12"/>
      <c r="I662" s="12"/>
      <c r="J662" s="12"/>
      <c r="K662" s="13"/>
      <c r="L662" s="9"/>
      <c r="M662" s="9"/>
      <c r="N662" s="9"/>
      <c r="O662" s="9"/>
      <c r="P662" s="9"/>
      <c r="Q662" s="9"/>
      <c r="R662" s="9"/>
      <c r="S662" s="9"/>
      <c r="T662" s="9"/>
      <c r="U662" s="9"/>
      <c r="V662" s="9"/>
      <c r="W662" s="9"/>
      <c r="X662" s="9"/>
      <c r="Y662" s="9"/>
      <c r="Z662" s="9"/>
      <c r="AA662" s="9"/>
      <c r="AB662" s="9"/>
      <c r="AC662" s="9"/>
      <c r="AD662" s="9"/>
    </row>
    <row r="663" spans="1:30" ht="14.25" customHeight="1">
      <c r="A663" s="11"/>
      <c r="B663" s="12"/>
      <c r="C663" s="12"/>
      <c r="D663" s="12"/>
      <c r="E663" s="12"/>
      <c r="F663" s="12"/>
      <c r="G663" s="12"/>
      <c r="H663" s="12"/>
      <c r="I663" s="12"/>
      <c r="J663" s="12"/>
      <c r="K663" s="13"/>
      <c r="L663" s="9"/>
      <c r="M663" s="9"/>
      <c r="N663" s="9"/>
      <c r="O663" s="9"/>
      <c r="P663" s="9"/>
      <c r="Q663" s="9"/>
      <c r="R663" s="9"/>
      <c r="S663" s="9"/>
      <c r="T663" s="9"/>
      <c r="U663" s="9"/>
      <c r="V663" s="9"/>
      <c r="W663" s="9"/>
      <c r="X663" s="9"/>
      <c r="Y663" s="9"/>
      <c r="Z663" s="9"/>
      <c r="AA663" s="9"/>
      <c r="AB663" s="9"/>
      <c r="AC663" s="9"/>
      <c r="AD663" s="9"/>
    </row>
    <row r="664" spans="1:30" ht="14.25" customHeight="1">
      <c r="A664" s="11"/>
      <c r="B664" s="12"/>
      <c r="C664" s="12"/>
      <c r="D664" s="12"/>
      <c r="E664" s="12"/>
      <c r="F664" s="12"/>
      <c r="G664" s="12"/>
      <c r="H664" s="12"/>
      <c r="I664" s="12"/>
      <c r="J664" s="12"/>
      <c r="K664" s="13"/>
      <c r="L664" s="9"/>
      <c r="M664" s="9"/>
      <c r="N664" s="9"/>
      <c r="O664" s="9"/>
      <c r="P664" s="9"/>
      <c r="Q664" s="9"/>
      <c r="R664" s="9"/>
      <c r="S664" s="9"/>
      <c r="T664" s="9"/>
      <c r="U664" s="9"/>
      <c r="V664" s="9"/>
      <c r="W664" s="9"/>
      <c r="X664" s="9"/>
      <c r="Y664" s="9"/>
      <c r="Z664" s="9"/>
      <c r="AA664" s="9"/>
      <c r="AB664" s="9"/>
      <c r="AC664" s="9"/>
      <c r="AD664" s="9"/>
    </row>
    <row r="665" spans="1:30" ht="14.25" customHeight="1">
      <c r="A665" s="11"/>
      <c r="B665" s="12"/>
      <c r="C665" s="12"/>
      <c r="D665" s="12"/>
      <c r="E665" s="12"/>
      <c r="F665" s="12"/>
      <c r="G665" s="12"/>
      <c r="H665" s="12"/>
      <c r="I665" s="12"/>
      <c r="J665" s="12"/>
      <c r="K665" s="13"/>
      <c r="L665" s="9"/>
      <c r="M665" s="9"/>
      <c r="N665" s="9"/>
      <c r="O665" s="9"/>
      <c r="P665" s="9"/>
      <c r="Q665" s="9"/>
      <c r="R665" s="9"/>
      <c r="S665" s="9"/>
      <c r="T665" s="9"/>
      <c r="U665" s="9"/>
      <c r="V665" s="9"/>
      <c r="W665" s="9"/>
      <c r="X665" s="9"/>
      <c r="Y665" s="9"/>
      <c r="Z665" s="9"/>
      <c r="AA665" s="9"/>
      <c r="AB665" s="9"/>
      <c r="AC665" s="9"/>
      <c r="AD665" s="9"/>
    </row>
    <row r="666" spans="1:30" ht="14.25" customHeight="1">
      <c r="A666" s="11"/>
      <c r="B666" s="12"/>
      <c r="C666" s="12"/>
      <c r="D666" s="12"/>
      <c r="E666" s="12"/>
      <c r="F666" s="12"/>
      <c r="G666" s="12"/>
      <c r="H666" s="12"/>
      <c r="I666" s="12"/>
      <c r="J666" s="12"/>
      <c r="K666" s="13"/>
      <c r="L666" s="9"/>
      <c r="M666" s="9"/>
      <c r="N666" s="9"/>
      <c r="O666" s="9"/>
      <c r="P666" s="9"/>
      <c r="Q666" s="9"/>
      <c r="R666" s="9"/>
      <c r="S666" s="9"/>
      <c r="T666" s="9"/>
      <c r="U666" s="9"/>
      <c r="V666" s="9"/>
      <c r="W666" s="9"/>
      <c r="X666" s="9"/>
      <c r="Y666" s="9"/>
      <c r="Z666" s="9"/>
      <c r="AA666" s="9"/>
      <c r="AB666" s="9"/>
      <c r="AC666" s="9"/>
      <c r="AD666" s="9"/>
    </row>
    <row r="667" spans="1:30" ht="14.25" customHeight="1">
      <c r="A667" s="11"/>
      <c r="B667" s="12"/>
      <c r="C667" s="12"/>
      <c r="D667" s="12"/>
      <c r="E667" s="12"/>
      <c r="F667" s="12"/>
      <c r="G667" s="12"/>
      <c r="H667" s="12"/>
      <c r="I667" s="12"/>
      <c r="J667" s="12"/>
      <c r="K667" s="13"/>
      <c r="L667" s="9"/>
      <c r="M667" s="9"/>
      <c r="N667" s="9"/>
      <c r="O667" s="9"/>
      <c r="P667" s="9"/>
      <c r="Q667" s="9"/>
      <c r="R667" s="9"/>
      <c r="S667" s="9"/>
      <c r="T667" s="9"/>
      <c r="U667" s="9"/>
      <c r="V667" s="9"/>
      <c r="W667" s="9"/>
      <c r="X667" s="9"/>
      <c r="Y667" s="9"/>
      <c r="Z667" s="9"/>
      <c r="AA667" s="9"/>
      <c r="AB667" s="9"/>
      <c r="AC667" s="9"/>
      <c r="AD667" s="9"/>
    </row>
    <row r="668" spans="1:30" ht="14.25" customHeight="1">
      <c r="A668" s="11"/>
      <c r="B668" s="12"/>
      <c r="C668" s="12"/>
      <c r="D668" s="12"/>
      <c r="E668" s="12"/>
      <c r="F668" s="12"/>
      <c r="G668" s="12"/>
      <c r="H668" s="12"/>
      <c r="I668" s="12"/>
      <c r="J668" s="12"/>
      <c r="K668" s="13"/>
      <c r="L668" s="9"/>
      <c r="M668" s="9"/>
      <c r="N668" s="9"/>
      <c r="O668" s="9"/>
      <c r="P668" s="9"/>
      <c r="Q668" s="9"/>
      <c r="R668" s="9"/>
      <c r="S668" s="9"/>
      <c r="T668" s="9"/>
      <c r="U668" s="9"/>
      <c r="V668" s="9"/>
      <c r="W668" s="9"/>
      <c r="X668" s="9"/>
      <c r="Y668" s="9"/>
      <c r="Z668" s="9"/>
      <c r="AA668" s="9"/>
      <c r="AB668" s="9"/>
      <c r="AC668" s="9"/>
      <c r="AD668" s="9"/>
    </row>
    <row r="669" spans="1:30" ht="14.25" customHeight="1">
      <c r="A669" s="11"/>
      <c r="B669" s="12"/>
      <c r="C669" s="12"/>
      <c r="D669" s="12"/>
      <c r="E669" s="12"/>
      <c r="F669" s="12"/>
      <c r="G669" s="12"/>
      <c r="H669" s="12"/>
      <c r="I669" s="12"/>
      <c r="J669" s="12"/>
      <c r="K669" s="13"/>
      <c r="L669" s="9"/>
      <c r="M669" s="9"/>
      <c r="N669" s="9"/>
      <c r="O669" s="9"/>
      <c r="P669" s="9"/>
      <c r="Q669" s="9"/>
      <c r="R669" s="9"/>
      <c r="S669" s="9"/>
      <c r="T669" s="9"/>
      <c r="U669" s="9"/>
      <c r="V669" s="9"/>
      <c r="W669" s="9"/>
      <c r="X669" s="9"/>
      <c r="Y669" s="9"/>
      <c r="Z669" s="9"/>
      <c r="AA669" s="9"/>
      <c r="AB669" s="9"/>
      <c r="AC669" s="9"/>
      <c r="AD669" s="9"/>
    </row>
    <row r="670" spans="1:30" ht="14.25" customHeight="1">
      <c r="A670" s="11"/>
      <c r="B670" s="12"/>
      <c r="C670" s="12"/>
      <c r="D670" s="12"/>
      <c r="E670" s="12"/>
      <c r="F670" s="12"/>
      <c r="G670" s="12"/>
      <c r="H670" s="12"/>
      <c r="I670" s="12"/>
      <c r="J670" s="12"/>
      <c r="K670" s="13"/>
      <c r="L670" s="9"/>
      <c r="M670" s="9"/>
      <c r="N670" s="9"/>
      <c r="O670" s="9"/>
      <c r="P670" s="9"/>
      <c r="Q670" s="9"/>
      <c r="R670" s="9"/>
      <c r="S670" s="9"/>
      <c r="T670" s="9"/>
      <c r="U670" s="9"/>
      <c r="V670" s="9"/>
      <c r="W670" s="9"/>
      <c r="X670" s="9"/>
      <c r="Y670" s="9"/>
      <c r="Z670" s="9"/>
      <c r="AA670" s="9"/>
      <c r="AB670" s="9"/>
      <c r="AC670" s="9"/>
      <c r="AD670" s="9"/>
    </row>
    <row r="671" spans="1:30" ht="14.25" customHeight="1">
      <c r="A671" s="11"/>
      <c r="B671" s="12"/>
      <c r="C671" s="12"/>
      <c r="D671" s="12"/>
      <c r="E671" s="12"/>
      <c r="F671" s="12"/>
      <c r="G671" s="12"/>
      <c r="H671" s="12"/>
      <c r="I671" s="12"/>
      <c r="J671" s="12"/>
      <c r="K671" s="13"/>
      <c r="L671" s="9"/>
      <c r="M671" s="9"/>
      <c r="N671" s="9"/>
      <c r="O671" s="9"/>
      <c r="P671" s="9"/>
      <c r="Q671" s="9"/>
      <c r="R671" s="9"/>
      <c r="S671" s="9"/>
      <c r="T671" s="9"/>
      <c r="U671" s="9"/>
      <c r="V671" s="9"/>
      <c r="W671" s="9"/>
      <c r="X671" s="9"/>
      <c r="Y671" s="9"/>
      <c r="Z671" s="9"/>
      <c r="AA671" s="9"/>
      <c r="AB671" s="9"/>
      <c r="AC671" s="9"/>
      <c r="AD671" s="9"/>
    </row>
    <row r="672" spans="1:30" ht="14.25" customHeight="1">
      <c r="A672" s="11"/>
      <c r="B672" s="12"/>
      <c r="C672" s="12"/>
      <c r="D672" s="12"/>
      <c r="E672" s="12"/>
      <c r="F672" s="12"/>
      <c r="G672" s="12"/>
      <c r="H672" s="12"/>
      <c r="I672" s="12"/>
      <c r="J672" s="12"/>
      <c r="K672" s="13"/>
      <c r="L672" s="9"/>
      <c r="M672" s="9"/>
      <c r="N672" s="9"/>
      <c r="O672" s="9"/>
      <c r="P672" s="9"/>
      <c r="Q672" s="9"/>
      <c r="R672" s="9"/>
      <c r="S672" s="9"/>
      <c r="T672" s="9"/>
      <c r="U672" s="9"/>
      <c r="V672" s="9"/>
      <c r="W672" s="9"/>
      <c r="X672" s="9"/>
      <c r="Y672" s="9"/>
      <c r="Z672" s="9"/>
      <c r="AA672" s="9"/>
      <c r="AB672" s="9"/>
      <c r="AC672" s="9"/>
      <c r="AD672" s="9"/>
    </row>
    <row r="673" spans="1:30" ht="14.25" customHeight="1">
      <c r="A673" s="11"/>
      <c r="B673" s="12"/>
      <c r="C673" s="12"/>
      <c r="D673" s="12"/>
      <c r="E673" s="12"/>
      <c r="F673" s="12"/>
      <c r="G673" s="12"/>
      <c r="H673" s="12"/>
      <c r="I673" s="12"/>
      <c r="J673" s="12"/>
      <c r="K673" s="13"/>
      <c r="L673" s="9"/>
      <c r="M673" s="9"/>
      <c r="N673" s="9"/>
      <c r="O673" s="9"/>
      <c r="P673" s="9"/>
      <c r="Q673" s="9"/>
      <c r="R673" s="9"/>
      <c r="S673" s="9"/>
      <c r="T673" s="9"/>
      <c r="U673" s="9"/>
      <c r="V673" s="9"/>
      <c r="W673" s="9"/>
      <c r="X673" s="9"/>
      <c r="Y673" s="9"/>
      <c r="Z673" s="9"/>
      <c r="AA673" s="9"/>
      <c r="AB673" s="9"/>
      <c r="AC673" s="9"/>
      <c r="AD673" s="9"/>
    </row>
    <row r="674" spans="1:30" ht="14.25" customHeight="1">
      <c r="A674" s="11"/>
      <c r="B674" s="12"/>
      <c r="C674" s="12"/>
      <c r="D674" s="12"/>
      <c r="E674" s="12"/>
      <c r="F674" s="12"/>
      <c r="G674" s="12"/>
      <c r="H674" s="12"/>
      <c r="I674" s="12"/>
      <c r="J674" s="12"/>
      <c r="K674" s="13"/>
      <c r="L674" s="9"/>
      <c r="M674" s="9"/>
      <c r="N674" s="9"/>
      <c r="O674" s="9"/>
      <c r="P674" s="9"/>
      <c r="Q674" s="9"/>
      <c r="R674" s="9"/>
      <c r="S674" s="9"/>
      <c r="T674" s="9"/>
      <c r="U674" s="9"/>
      <c r="V674" s="9"/>
      <c r="W674" s="9"/>
      <c r="X674" s="9"/>
      <c r="Y674" s="9"/>
      <c r="Z674" s="9"/>
      <c r="AA674" s="9"/>
      <c r="AB674" s="9"/>
      <c r="AC674" s="9"/>
      <c r="AD674" s="9"/>
    </row>
    <row r="675" spans="1:30" ht="14.25" customHeight="1">
      <c r="A675" s="11"/>
      <c r="B675" s="12"/>
      <c r="C675" s="12"/>
      <c r="D675" s="12"/>
      <c r="E675" s="12"/>
      <c r="F675" s="12"/>
      <c r="G675" s="12"/>
      <c r="H675" s="12"/>
      <c r="I675" s="12"/>
      <c r="J675" s="12"/>
      <c r="K675" s="13"/>
      <c r="L675" s="9"/>
      <c r="M675" s="9"/>
      <c r="N675" s="9"/>
      <c r="O675" s="9"/>
      <c r="P675" s="9"/>
      <c r="Q675" s="9"/>
      <c r="R675" s="9"/>
      <c r="S675" s="9"/>
      <c r="T675" s="9"/>
      <c r="U675" s="9"/>
      <c r="V675" s="9"/>
      <c r="W675" s="9"/>
      <c r="X675" s="9"/>
      <c r="Y675" s="9"/>
      <c r="Z675" s="9"/>
      <c r="AA675" s="9"/>
      <c r="AB675" s="9"/>
      <c r="AC675" s="9"/>
      <c r="AD675" s="9"/>
    </row>
    <row r="676" spans="1:30" ht="14.25" customHeight="1">
      <c r="A676" s="11"/>
      <c r="B676" s="12"/>
      <c r="C676" s="12"/>
      <c r="D676" s="12"/>
      <c r="E676" s="12"/>
      <c r="F676" s="12"/>
      <c r="G676" s="12"/>
      <c r="H676" s="12"/>
      <c r="I676" s="12"/>
      <c r="J676" s="12"/>
      <c r="K676" s="13"/>
      <c r="L676" s="9"/>
      <c r="M676" s="9"/>
      <c r="N676" s="9"/>
      <c r="O676" s="9"/>
      <c r="P676" s="9"/>
      <c r="Q676" s="9"/>
      <c r="R676" s="9"/>
      <c r="S676" s="9"/>
      <c r="T676" s="9"/>
      <c r="U676" s="9"/>
      <c r="V676" s="9"/>
      <c r="W676" s="9"/>
      <c r="X676" s="9"/>
      <c r="Y676" s="9"/>
      <c r="Z676" s="9"/>
      <c r="AA676" s="9"/>
      <c r="AB676" s="9"/>
      <c r="AC676" s="9"/>
      <c r="AD676" s="9"/>
    </row>
    <row r="677" spans="1:30" ht="14.25" customHeight="1">
      <c r="A677" s="11"/>
      <c r="B677" s="12"/>
      <c r="C677" s="12"/>
      <c r="D677" s="12"/>
      <c r="E677" s="12"/>
      <c r="F677" s="12"/>
      <c r="G677" s="12"/>
      <c r="H677" s="12"/>
      <c r="I677" s="12"/>
      <c r="J677" s="12"/>
      <c r="K677" s="13"/>
      <c r="L677" s="9"/>
      <c r="M677" s="9"/>
      <c r="N677" s="9"/>
      <c r="O677" s="9"/>
      <c r="P677" s="9"/>
      <c r="Q677" s="9"/>
      <c r="R677" s="9"/>
      <c r="S677" s="9"/>
      <c r="T677" s="9"/>
      <c r="U677" s="9"/>
      <c r="V677" s="9"/>
      <c r="W677" s="9"/>
      <c r="X677" s="9"/>
      <c r="Y677" s="9"/>
      <c r="Z677" s="9"/>
      <c r="AA677" s="9"/>
      <c r="AB677" s="9"/>
      <c r="AC677" s="9"/>
      <c r="AD677" s="9"/>
    </row>
    <row r="678" spans="1:30" ht="14.25" customHeight="1">
      <c r="A678" s="11"/>
      <c r="B678" s="12"/>
      <c r="C678" s="12"/>
      <c r="D678" s="12"/>
      <c r="E678" s="12"/>
      <c r="F678" s="12"/>
      <c r="G678" s="12"/>
      <c r="H678" s="12"/>
      <c r="I678" s="12"/>
      <c r="J678" s="12"/>
      <c r="K678" s="13"/>
      <c r="L678" s="9"/>
      <c r="M678" s="9"/>
      <c r="N678" s="9"/>
      <c r="O678" s="9"/>
      <c r="P678" s="9"/>
      <c r="Q678" s="9"/>
      <c r="R678" s="9"/>
      <c r="S678" s="9"/>
      <c r="T678" s="9"/>
      <c r="U678" s="9"/>
      <c r="V678" s="9"/>
      <c r="W678" s="9"/>
      <c r="X678" s="9"/>
      <c r="Y678" s="9"/>
      <c r="Z678" s="9"/>
      <c r="AA678" s="9"/>
      <c r="AB678" s="9"/>
      <c r="AC678" s="9"/>
      <c r="AD678" s="9"/>
    </row>
    <row r="679" spans="1:30" ht="14.25" customHeight="1">
      <c r="A679" s="11"/>
      <c r="B679" s="12"/>
      <c r="C679" s="12"/>
      <c r="D679" s="12"/>
      <c r="E679" s="12"/>
      <c r="F679" s="12"/>
      <c r="G679" s="12"/>
      <c r="H679" s="12"/>
      <c r="I679" s="12"/>
      <c r="J679" s="12"/>
      <c r="K679" s="13"/>
      <c r="L679" s="9"/>
      <c r="M679" s="9"/>
      <c r="N679" s="9"/>
      <c r="O679" s="9"/>
      <c r="P679" s="9"/>
      <c r="Q679" s="9"/>
      <c r="R679" s="9"/>
      <c r="S679" s="9"/>
      <c r="T679" s="9"/>
      <c r="U679" s="9"/>
      <c r="V679" s="9"/>
      <c r="W679" s="9"/>
      <c r="X679" s="9"/>
      <c r="Y679" s="9"/>
      <c r="Z679" s="9"/>
      <c r="AA679" s="9"/>
      <c r="AB679" s="9"/>
      <c r="AC679" s="9"/>
      <c r="AD679" s="9"/>
    </row>
    <row r="680" spans="1:30" ht="14.25" customHeight="1">
      <c r="A680" s="11"/>
      <c r="B680" s="12"/>
      <c r="C680" s="12"/>
      <c r="D680" s="12"/>
      <c r="E680" s="12"/>
      <c r="F680" s="12"/>
      <c r="G680" s="12"/>
      <c r="H680" s="12"/>
      <c r="I680" s="12"/>
      <c r="J680" s="12"/>
      <c r="K680" s="13"/>
      <c r="L680" s="9"/>
      <c r="M680" s="9"/>
      <c r="N680" s="9"/>
      <c r="O680" s="9"/>
      <c r="P680" s="9"/>
      <c r="Q680" s="9"/>
      <c r="R680" s="9"/>
      <c r="S680" s="9"/>
      <c r="T680" s="9"/>
      <c r="U680" s="9"/>
      <c r="V680" s="9"/>
      <c r="W680" s="9"/>
      <c r="X680" s="9"/>
      <c r="Y680" s="9"/>
      <c r="Z680" s="9"/>
      <c r="AA680" s="9"/>
      <c r="AB680" s="9"/>
      <c r="AC680" s="9"/>
      <c r="AD680" s="9"/>
    </row>
    <row r="681" spans="1:30" ht="14.25" customHeight="1">
      <c r="A681" s="11"/>
      <c r="B681" s="12"/>
      <c r="C681" s="12"/>
      <c r="D681" s="12"/>
      <c r="E681" s="12"/>
      <c r="F681" s="12"/>
      <c r="G681" s="12"/>
      <c r="H681" s="12"/>
      <c r="I681" s="12"/>
      <c r="J681" s="12"/>
      <c r="K681" s="13"/>
      <c r="L681" s="9"/>
      <c r="M681" s="9"/>
      <c r="N681" s="9"/>
      <c r="O681" s="9"/>
      <c r="P681" s="9"/>
      <c r="Q681" s="9"/>
      <c r="R681" s="9"/>
      <c r="S681" s="9"/>
      <c r="T681" s="9"/>
      <c r="U681" s="9"/>
      <c r="V681" s="9"/>
      <c r="W681" s="9"/>
      <c r="X681" s="9"/>
      <c r="Y681" s="9"/>
      <c r="Z681" s="9"/>
      <c r="AA681" s="9"/>
      <c r="AB681" s="9"/>
      <c r="AC681" s="9"/>
      <c r="AD681" s="9"/>
    </row>
    <row r="682" spans="1:30" ht="14.25" customHeight="1">
      <c r="A682" s="11"/>
      <c r="B682" s="12"/>
      <c r="C682" s="12"/>
      <c r="D682" s="12"/>
      <c r="E682" s="12"/>
      <c r="F682" s="12"/>
      <c r="G682" s="12"/>
      <c r="H682" s="12"/>
      <c r="I682" s="12"/>
      <c r="J682" s="12"/>
      <c r="K682" s="13"/>
      <c r="L682" s="9"/>
      <c r="M682" s="9"/>
      <c r="N682" s="9"/>
      <c r="O682" s="9"/>
      <c r="P682" s="9"/>
      <c r="Q682" s="9"/>
      <c r="R682" s="9"/>
      <c r="S682" s="9"/>
      <c r="T682" s="9"/>
      <c r="U682" s="9"/>
      <c r="V682" s="9"/>
      <c r="W682" s="9"/>
      <c r="X682" s="9"/>
      <c r="Y682" s="9"/>
      <c r="Z682" s="9"/>
      <c r="AA682" s="9"/>
      <c r="AB682" s="9"/>
      <c r="AC682" s="9"/>
      <c r="AD682" s="9"/>
    </row>
    <row r="683" spans="1:30" ht="14.25" customHeight="1">
      <c r="A683" s="11"/>
      <c r="B683" s="12"/>
      <c r="C683" s="12"/>
      <c r="D683" s="12"/>
      <c r="E683" s="12"/>
      <c r="F683" s="12"/>
      <c r="G683" s="12"/>
      <c r="H683" s="12"/>
      <c r="I683" s="12"/>
      <c r="J683" s="12"/>
      <c r="K683" s="13"/>
      <c r="L683" s="9"/>
      <c r="M683" s="9"/>
      <c r="N683" s="9"/>
      <c r="O683" s="9"/>
      <c r="P683" s="9"/>
      <c r="Q683" s="9"/>
      <c r="R683" s="9"/>
      <c r="S683" s="9"/>
      <c r="T683" s="9"/>
      <c r="U683" s="9"/>
      <c r="V683" s="9"/>
      <c r="W683" s="9"/>
      <c r="X683" s="9"/>
      <c r="Y683" s="9"/>
      <c r="Z683" s="9"/>
      <c r="AA683" s="9"/>
      <c r="AB683" s="9"/>
      <c r="AC683" s="9"/>
      <c r="AD683" s="9"/>
    </row>
    <row r="684" spans="1:30" ht="14.25" customHeight="1">
      <c r="A684" s="11"/>
      <c r="B684" s="12"/>
      <c r="C684" s="12"/>
      <c r="D684" s="12"/>
      <c r="E684" s="12"/>
      <c r="F684" s="12"/>
      <c r="G684" s="12"/>
      <c r="H684" s="12"/>
      <c r="I684" s="12"/>
      <c r="J684" s="12"/>
      <c r="K684" s="13"/>
      <c r="L684" s="9"/>
      <c r="M684" s="9"/>
      <c r="N684" s="9"/>
      <c r="O684" s="9"/>
      <c r="P684" s="9"/>
      <c r="Q684" s="9"/>
      <c r="R684" s="9"/>
      <c r="S684" s="9"/>
      <c r="T684" s="9"/>
      <c r="U684" s="9"/>
      <c r="V684" s="9"/>
      <c r="W684" s="9"/>
      <c r="X684" s="9"/>
      <c r="Y684" s="9"/>
      <c r="Z684" s="9"/>
      <c r="AA684" s="9"/>
      <c r="AB684" s="9"/>
      <c r="AC684" s="9"/>
      <c r="AD684" s="9"/>
    </row>
    <row r="685" spans="1:30" ht="14.25" customHeight="1">
      <c r="A685" s="11"/>
      <c r="B685" s="12"/>
      <c r="C685" s="12"/>
      <c r="D685" s="12"/>
      <c r="E685" s="12"/>
      <c r="F685" s="12"/>
      <c r="G685" s="12"/>
      <c r="H685" s="12"/>
      <c r="I685" s="12"/>
      <c r="J685" s="12"/>
      <c r="K685" s="13"/>
      <c r="L685" s="9"/>
      <c r="M685" s="9"/>
      <c r="N685" s="9"/>
      <c r="O685" s="9"/>
      <c r="P685" s="9"/>
      <c r="Q685" s="9"/>
      <c r="R685" s="9"/>
      <c r="S685" s="9"/>
      <c r="T685" s="9"/>
      <c r="U685" s="9"/>
      <c r="V685" s="9"/>
      <c r="W685" s="9"/>
      <c r="X685" s="9"/>
      <c r="Y685" s="9"/>
      <c r="Z685" s="9"/>
      <c r="AA685" s="9"/>
      <c r="AB685" s="9"/>
      <c r="AC685" s="9"/>
      <c r="AD685" s="9"/>
    </row>
    <row r="686" spans="1:30" ht="14.25" customHeight="1">
      <c r="A686" s="11"/>
      <c r="B686" s="12"/>
      <c r="C686" s="12"/>
      <c r="D686" s="12"/>
      <c r="E686" s="12"/>
      <c r="F686" s="12"/>
      <c r="G686" s="12"/>
      <c r="H686" s="12"/>
      <c r="I686" s="12"/>
      <c r="J686" s="12"/>
      <c r="K686" s="13"/>
      <c r="L686" s="9"/>
      <c r="M686" s="9"/>
      <c r="N686" s="9"/>
      <c r="O686" s="9"/>
      <c r="P686" s="9"/>
      <c r="Q686" s="9"/>
      <c r="R686" s="9"/>
      <c r="S686" s="9"/>
      <c r="T686" s="9"/>
      <c r="U686" s="9"/>
      <c r="V686" s="9"/>
      <c r="W686" s="9"/>
      <c r="X686" s="9"/>
      <c r="Y686" s="9"/>
      <c r="Z686" s="9"/>
      <c r="AA686" s="9"/>
      <c r="AB686" s="9"/>
      <c r="AC686" s="9"/>
      <c r="AD686" s="9"/>
    </row>
    <row r="687" spans="1:30" ht="14.25" customHeight="1">
      <c r="A687" s="11"/>
      <c r="B687" s="12"/>
      <c r="C687" s="12"/>
      <c r="D687" s="12"/>
      <c r="E687" s="12"/>
      <c r="F687" s="12"/>
      <c r="G687" s="12"/>
      <c r="H687" s="12"/>
      <c r="I687" s="12"/>
      <c r="J687" s="12"/>
      <c r="K687" s="13"/>
      <c r="L687" s="9"/>
      <c r="M687" s="9"/>
      <c r="N687" s="9"/>
      <c r="O687" s="9"/>
      <c r="P687" s="9"/>
      <c r="Q687" s="9"/>
      <c r="R687" s="9"/>
      <c r="S687" s="9"/>
      <c r="T687" s="9"/>
      <c r="U687" s="9"/>
      <c r="V687" s="9"/>
      <c r="W687" s="9"/>
      <c r="X687" s="9"/>
      <c r="Y687" s="9"/>
      <c r="Z687" s="9"/>
      <c r="AA687" s="9"/>
      <c r="AB687" s="9"/>
      <c r="AC687" s="9"/>
      <c r="AD687" s="9"/>
    </row>
    <row r="688" spans="1:30" ht="14.25" customHeight="1">
      <c r="A688" s="11"/>
      <c r="B688" s="12"/>
      <c r="C688" s="12"/>
      <c r="D688" s="12"/>
      <c r="E688" s="12"/>
      <c r="F688" s="12"/>
      <c r="G688" s="12"/>
      <c r="H688" s="12"/>
      <c r="I688" s="12"/>
      <c r="J688" s="12"/>
      <c r="K688" s="13"/>
      <c r="L688" s="9"/>
      <c r="M688" s="9"/>
      <c r="N688" s="9"/>
      <c r="O688" s="9"/>
      <c r="P688" s="9"/>
      <c r="Q688" s="9"/>
      <c r="R688" s="9"/>
      <c r="S688" s="9"/>
      <c r="T688" s="9"/>
      <c r="U688" s="9"/>
      <c r="V688" s="9"/>
      <c r="W688" s="9"/>
      <c r="X688" s="9"/>
      <c r="Y688" s="9"/>
      <c r="Z688" s="9"/>
      <c r="AA688" s="9"/>
      <c r="AB688" s="9"/>
      <c r="AC688" s="9"/>
      <c r="AD688" s="9"/>
    </row>
    <row r="689" spans="1:30" ht="14.25" customHeight="1">
      <c r="A689" s="11"/>
      <c r="B689" s="12"/>
      <c r="C689" s="12"/>
      <c r="D689" s="12"/>
      <c r="E689" s="12"/>
      <c r="F689" s="12"/>
      <c r="G689" s="12"/>
      <c r="H689" s="12"/>
      <c r="I689" s="12"/>
      <c r="J689" s="12"/>
      <c r="K689" s="13"/>
      <c r="L689" s="9"/>
      <c r="M689" s="9"/>
      <c r="N689" s="9"/>
      <c r="O689" s="9"/>
      <c r="P689" s="9"/>
      <c r="Q689" s="9"/>
      <c r="R689" s="9"/>
      <c r="S689" s="9"/>
      <c r="T689" s="9"/>
      <c r="U689" s="9"/>
      <c r="V689" s="9"/>
      <c r="W689" s="9"/>
      <c r="X689" s="9"/>
      <c r="Y689" s="9"/>
      <c r="Z689" s="9"/>
      <c r="AA689" s="9"/>
      <c r="AB689" s="9"/>
      <c r="AC689" s="9"/>
      <c r="AD689" s="9"/>
    </row>
    <row r="690" spans="1:30" ht="14.25" customHeight="1">
      <c r="A690" s="11"/>
      <c r="B690" s="12"/>
      <c r="C690" s="12"/>
      <c r="D690" s="12"/>
      <c r="E690" s="12"/>
      <c r="F690" s="12"/>
      <c r="G690" s="12"/>
      <c r="H690" s="12"/>
      <c r="I690" s="12"/>
      <c r="J690" s="12"/>
      <c r="K690" s="13"/>
      <c r="L690" s="9"/>
      <c r="M690" s="9"/>
      <c r="N690" s="9"/>
      <c r="O690" s="9"/>
      <c r="P690" s="9"/>
      <c r="Q690" s="9"/>
      <c r="R690" s="9"/>
      <c r="S690" s="9"/>
      <c r="T690" s="9"/>
      <c r="U690" s="9"/>
      <c r="V690" s="9"/>
      <c r="W690" s="9"/>
      <c r="X690" s="9"/>
      <c r="Y690" s="9"/>
      <c r="Z690" s="9"/>
      <c r="AA690" s="9"/>
      <c r="AB690" s="9"/>
      <c r="AC690" s="9"/>
      <c r="AD690" s="9"/>
    </row>
    <row r="691" spans="1:30" ht="14.25" customHeight="1">
      <c r="A691" s="11"/>
      <c r="B691" s="12"/>
      <c r="C691" s="12"/>
      <c r="D691" s="12"/>
      <c r="E691" s="12"/>
      <c r="F691" s="12"/>
      <c r="G691" s="12"/>
      <c r="H691" s="12"/>
      <c r="I691" s="12"/>
      <c r="J691" s="12"/>
      <c r="K691" s="13"/>
      <c r="L691" s="9"/>
      <c r="M691" s="9"/>
      <c r="N691" s="9"/>
      <c r="O691" s="9"/>
      <c r="P691" s="9"/>
      <c r="Q691" s="9"/>
      <c r="R691" s="9"/>
      <c r="S691" s="9"/>
      <c r="T691" s="9"/>
      <c r="U691" s="9"/>
      <c r="V691" s="9"/>
      <c r="W691" s="9"/>
      <c r="X691" s="9"/>
      <c r="Y691" s="9"/>
      <c r="Z691" s="9"/>
      <c r="AA691" s="9"/>
      <c r="AB691" s="9"/>
      <c r="AC691" s="9"/>
      <c r="AD691" s="9"/>
    </row>
    <row r="692" spans="1:30" ht="14.25" customHeight="1">
      <c r="A692" s="11"/>
      <c r="B692" s="12"/>
      <c r="C692" s="12"/>
      <c r="D692" s="12"/>
      <c r="E692" s="12"/>
      <c r="F692" s="12"/>
      <c r="G692" s="12"/>
      <c r="H692" s="12"/>
      <c r="I692" s="12"/>
      <c r="J692" s="12"/>
      <c r="K692" s="13"/>
      <c r="L692" s="9"/>
      <c r="M692" s="9"/>
      <c r="N692" s="9"/>
      <c r="O692" s="9"/>
      <c r="P692" s="9"/>
      <c r="Q692" s="9"/>
      <c r="R692" s="9"/>
      <c r="S692" s="9"/>
      <c r="T692" s="9"/>
      <c r="U692" s="9"/>
      <c r="V692" s="9"/>
      <c r="W692" s="9"/>
      <c r="X692" s="9"/>
      <c r="Y692" s="9"/>
      <c r="Z692" s="9"/>
      <c r="AA692" s="9"/>
      <c r="AB692" s="9"/>
      <c r="AC692" s="9"/>
      <c r="AD692" s="9"/>
    </row>
    <row r="693" spans="1:30" ht="14.25" customHeight="1">
      <c r="A693" s="11"/>
      <c r="B693" s="12"/>
      <c r="C693" s="12"/>
      <c r="D693" s="12"/>
      <c r="E693" s="12"/>
      <c r="F693" s="12"/>
      <c r="G693" s="12"/>
      <c r="H693" s="12"/>
      <c r="I693" s="12"/>
      <c r="J693" s="12"/>
      <c r="K693" s="13"/>
      <c r="L693" s="9"/>
      <c r="M693" s="9"/>
      <c r="N693" s="9"/>
      <c r="O693" s="9"/>
      <c r="P693" s="9"/>
      <c r="Q693" s="9"/>
      <c r="R693" s="9"/>
      <c r="S693" s="9"/>
      <c r="T693" s="9"/>
      <c r="U693" s="9"/>
      <c r="V693" s="9"/>
      <c r="W693" s="9"/>
      <c r="X693" s="9"/>
      <c r="Y693" s="9"/>
      <c r="Z693" s="9"/>
      <c r="AA693" s="9"/>
      <c r="AB693" s="9"/>
      <c r="AC693" s="9"/>
      <c r="AD693" s="9"/>
    </row>
    <row r="694" spans="1:30" ht="14.25" customHeight="1">
      <c r="A694" s="11"/>
      <c r="B694" s="12"/>
      <c r="C694" s="12"/>
      <c r="D694" s="12"/>
      <c r="E694" s="12"/>
      <c r="F694" s="12"/>
      <c r="G694" s="12"/>
      <c r="H694" s="12"/>
      <c r="I694" s="12"/>
      <c r="J694" s="12"/>
      <c r="K694" s="13"/>
      <c r="L694" s="9"/>
      <c r="M694" s="9"/>
      <c r="N694" s="9"/>
      <c r="O694" s="9"/>
      <c r="P694" s="9"/>
      <c r="Q694" s="9"/>
      <c r="R694" s="9"/>
      <c r="S694" s="9"/>
      <c r="T694" s="9"/>
      <c r="U694" s="9"/>
      <c r="V694" s="9"/>
      <c r="W694" s="9"/>
      <c r="X694" s="9"/>
      <c r="Y694" s="9"/>
      <c r="Z694" s="9"/>
      <c r="AA694" s="9"/>
      <c r="AB694" s="9"/>
      <c r="AC694" s="9"/>
      <c r="AD694" s="9"/>
    </row>
    <row r="695" spans="1:30" ht="14.25" customHeight="1">
      <c r="A695" s="11"/>
      <c r="B695" s="12"/>
      <c r="C695" s="12"/>
      <c r="D695" s="12"/>
      <c r="E695" s="12"/>
      <c r="F695" s="12"/>
      <c r="G695" s="12"/>
      <c r="H695" s="12"/>
      <c r="I695" s="12"/>
      <c r="J695" s="12"/>
      <c r="K695" s="13"/>
      <c r="L695" s="9"/>
      <c r="M695" s="9"/>
      <c r="N695" s="9"/>
      <c r="O695" s="9"/>
      <c r="P695" s="9"/>
      <c r="Q695" s="9"/>
      <c r="R695" s="9"/>
      <c r="S695" s="9"/>
      <c r="T695" s="9"/>
      <c r="U695" s="9"/>
      <c r="V695" s="9"/>
      <c r="W695" s="9"/>
      <c r="X695" s="9"/>
      <c r="Y695" s="9"/>
      <c r="Z695" s="9"/>
      <c r="AA695" s="9"/>
      <c r="AB695" s="9"/>
      <c r="AC695" s="9"/>
      <c r="AD695" s="9"/>
    </row>
    <row r="696" spans="1:30" ht="14.25" customHeight="1">
      <c r="A696" s="11"/>
      <c r="B696" s="12"/>
      <c r="C696" s="12"/>
      <c r="D696" s="12"/>
      <c r="E696" s="12"/>
      <c r="F696" s="12"/>
      <c r="G696" s="12"/>
      <c r="H696" s="12"/>
      <c r="I696" s="12"/>
      <c r="J696" s="12"/>
      <c r="K696" s="13"/>
      <c r="L696" s="9"/>
      <c r="M696" s="9"/>
      <c r="N696" s="9"/>
      <c r="O696" s="9"/>
      <c r="P696" s="9"/>
      <c r="Q696" s="9"/>
      <c r="R696" s="9"/>
      <c r="S696" s="9"/>
      <c r="T696" s="9"/>
      <c r="U696" s="9"/>
      <c r="V696" s="9"/>
      <c r="W696" s="9"/>
      <c r="X696" s="9"/>
      <c r="Y696" s="9"/>
      <c r="Z696" s="9"/>
      <c r="AA696" s="9"/>
      <c r="AB696" s="9"/>
      <c r="AC696" s="9"/>
      <c r="AD696" s="9"/>
    </row>
    <row r="697" spans="1:30" ht="14.25" customHeight="1">
      <c r="A697" s="11"/>
      <c r="B697" s="12"/>
      <c r="C697" s="12"/>
      <c r="D697" s="12"/>
      <c r="E697" s="12"/>
      <c r="F697" s="12"/>
      <c r="G697" s="12"/>
      <c r="H697" s="12"/>
      <c r="I697" s="12"/>
      <c r="J697" s="12"/>
      <c r="K697" s="13"/>
      <c r="L697" s="9"/>
      <c r="M697" s="9"/>
      <c r="N697" s="9"/>
      <c r="O697" s="9"/>
      <c r="P697" s="9"/>
      <c r="Q697" s="9"/>
      <c r="R697" s="9"/>
      <c r="S697" s="9"/>
      <c r="T697" s="9"/>
      <c r="U697" s="9"/>
      <c r="V697" s="9"/>
      <c r="W697" s="9"/>
      <c r="X697" s="9"/>
      <c r="Y697" s="9"/>
      <c r="Z697" s="9"/>
      <c r="AA697" s="9"/>
      <c r="AB697" s="9"/>
      <c r="AC697" s="9"/>
      <c r="AD697" s="9"/>
    </row>
    <row r="698" spans="1:30" ht="14.25" customHeight="1">
      <c r="A698" s="11"/>
      <c r="B698" s="12"/>
      <c r="C698" s="12"/>
      <c r="D698" s="12"/>
      <c r="E698" s="12"/>
      <c r="F698" s="12"/>
      <c r="G698" s="12"/>
      <c r="H698" s="12"/>
      <c r="I698" s="12"/>
      <c r="J698" s="12"/>
      <c r="K698" s="13"/>
      <c r="L698" s="9"/>
      <c r="M698" s="9"/>
      <c r="N698" s="9"/>
      <c r="O698" s="9"/>
      <c r="P698" s="9"/>
      <c r="Q698" s="9"/>
      <c r="R698" s="9"/>
      <c r="S698" s="9"/>
      <c r="T698" s="9"/>
      <c r="U698" s="9"/>
      <c r="V698" s="9"/>
      <c r="W698" s="9"/>
      <c r="X698" s="9"/>
      <c r="Y698" s="9"/>
      <c r="Z698" s="9"/>
      <c r="AA698" s="9"/>
      <c r="AB698" s="9"/>
      <c r="AC698" s="9"/>
      <c r="AD698" s="9"/>
    </row>
    <row r="699" spans="1:30" ht="14.25" customHeight="1">
      <c r="A699" s="11"/>
      <c r="B699" s="12"/>
      <c r="C699" s="12"/>
      <c r="D699" s="12"/>
      <c r="E699" s="12"/>
      <c r="F699" s="12"/>
      <c r="G699" s="12"/>
      <c r="H699" s="12"/>
      <c r="I699" s="12"/>
      <c r="J699" s="12"/>
      <c r="K699" s="13"/>
      <c r="L699" s="9"/>
      <c r="M699" s="9"/>
      <c r="N699" s="9"/>
      <c r="O699" s="9"/>
      <c r="P699" s="9"/>
      <c r="Q699" s="9"/>
      <c r="R699" s="9"/>
      <c r="S699" s="9"/>
      <c r="T699" s="9"/>
      <c r="U699" s="9"/>
      <c r="V699" s="9"/>
      <c r="W699" s="9"/>
      <c r="X699" s="9"/>
      <c r="Y699" s="9"/>
      <c r="Z699" s="9"/>
      <c r="AA699" s="9"/>
      <c r="AB699" s="9"/>
      <c r="AC699" s="9"/>
      <c r="AD699" s="9"/>
    </row>
    <row r="700" spans="1:30" ht="14.25" customHeight="1">
      <c r="A700" s="11"/>
      <c r="B700" s="12"/>
      <c r="C700" s="12"/>
      <c r="D700" s="12"/>
      <c r="E700" s="12"/>
      <c r="F700" s="12"/>
      <c r="G700" s="12"/>
      <c r="H700" s="12"/>
      <c r="I700" s="12"/>
      <c r="J700" s="12"/>
      <c r="K700" s="13"/>
      <c r="L700" s="9"/>
      <c r="M700" s="9"/>
      <c r="N700" s="9"/>
      <c r="O700" s="9"/>
      <c r="P700" s="9"/>
      <c r="Q700" s="9"/>
      <c r="R700" s="9"/>
      <c r="S700" s="9"/>
      <c r="T700" s="9"/>
      <c r="U700" s="9"/>
      <c r="V700" s="9"/>
      <c r="W700" s="9"/>
      <c r="X700" s="9"/>
      <c r="Y700" s="9"/>
      <c r="Z700" s="9"/>
      <c r="AA700" s="9"/>
      <c r="AB700" s="9"/>
      <c r="AC700" s="9"/>
      <c r="AD700" s="9"/>
    </row>
    <row r="701" spans="1:30" ht="14.25" customHeight="1">
      <c r="A701" s="11"/>
      <c r="B701" s="12"/>
      <c r="C701" s="12"/>
      <c r="D701" s="12"/>
      <c r="E701" s="12"/>
      <c r="F701" s="12"/>
      <c r="G701" s="12"/>
      <c r="H701" s="12"/>
      <c r="I701" s="12"/>
      <c r="J701" s="12"/>
      <c r="K701" s="13"/>
      <c r="L701" s="9"/>
      <c r="M701" s="9"/>
      <c r="N701" s="9"/>
      <c r="O701" s="9"/>
      <c r="P701" s="9"/>
      <c r="Q701" s="9"/>
      <c r="R701" s="9"/>
      <c r="S701" s="9"/>
      <c r="T701" s="9"/>
      <c r="U701" s="9"/>
      <c r="V701" s="9"/>
      <c r="W701" s="9"/>
      <c r="X701" s="9"/>
      <c r="Y701" s="9"/>
      <c r="Z701" s="9"/>
      <c r="AA701" s="9"/>
      <c r="AB701" s="9"/>
      <c r="AC701" s="9"/>
      <c r="AD701" s="9"/>
    </row>
    <row r="702" spans="1:30" ht="14.25" customHeight="1">
      <c r="A702" s="11"/>
      <c r="B702" s="12"/>
      <c r="C702" s="12"/>
      <c r="D702" s="12"/>
      <c r="E702" s="12"/>
      <c r="F702" s="12"/>
      <c r="G702" s="12"/>
      <c r="H702" s="12"/>
      <c r="I702" s="12"/>
      <c r="J702" s="12"/>
      <c r="K702" s="13"/>
      <c r="L702" s="9"/>
      <c r="M702" s="9"/>
      <c r="N702" s="9"/>
      <c r="O702" s="9"/>
      <c r="P702" s="9"/>
      <c r="Q702" s="9"/>
      <c r="R702" s="9"/>
      <c r="S702" s="9"/>
      <c r="T702" s="9"/>
      <c r="U702" s="9"/>
      <c r="V702" s="9"/>
      <c r="W702" s="9"/>
      <c r="X702" s="9"/>
      <c r="Y702" s="9"/>
      <c r="Z702" s="9"/>
      <c r="AA702" s="9"/>
      <c r="AB702" s="9"/>
      <c r="AC702" s="9"/>
      <c r="AD702" s="9"/>
    </row>
    <row r="703" spans="1:30" ht="14.25" customHeight="1">
      <c r="A703" s="11"/>
      <c r="B703" s="12"/>
      <c r="C703" s="12"/>
      <c r="D703" s="12"/>
      <c r="E703" s="12"/>
      <c r="F703" s="12"/>
      <c r="G703" s="12"/>
      <c r="H703" s="12"/>
      <c r="I703" s="12"/>
      <c r="J703" s="12"/>
      <c r="K703" s="13"/>
      <c r="L703" s="9"/>
      <c r="M703" s="9"/>
      <c r="N703" s="9"/>
      <c r="O703" s="9"/>
      <c r="P703" s="9"/>
      <c r="Q703" s="9"/>
      <c r="R703" s="9"/>
      <c r="S703" s="9"/>
      <c r="T703" s="9"/>
      <c r="U703" s="9"/>
      <c r="V703" s="9"/>
      <c r="W703" s="9"/>
      <c r="X703" s="9"/>
      <c r="Y703" s="9"/>
      <c r="Z703" s="9"/>
      <c r="AA703" s="9"/>
      <c r="AB703" s="9"/>
      <c r="AC703" s="9"/>
      <c r="AD703" s="9"/>
    </row>
    <row r="704" spans="1:30" ht="14.25" customHeight="1">
      <c r="A704" s="11"/>
      <c r="B704" s="12"/>
      <c r="C704" s="12"/>
      <c r="D704" s="12"/>
      <c r="E704" s="12"/>
      <c r="F704" s="12"/>
      <c r="G704" s="12"/>
      <c r="H704" s="12"/>
      <c r="I704" s="12"/>
      <c r="J704" s="12"/>
      <c r="K704" s="13"/>
      <c r="L704" s="9"/>
      <c r="M704" s="9"/>
      <c r="N704" s="9"/>
      <c r="O704" s="9"/>
      <c r="P704" s="9"/>
      <c r="Q704" s="9"/>
      <c r="R704" s="9"/>
      <c r="S704" s="9"/>
      <c r="T704" s="9"/>
      <c r="U704" s="9"/>
      <c r="V704" s="9"/>
      <c r="W704" s="9"/>
      <c r="X704" s="9"/>
      <c r="Y704" s="9"/>
      <c r="Z704" s="9"/>
      <c r="AA704" s="9"/>
      <c r="AB704" s="9"/>
      <c r="AC704" s="9"/>
      <c r="AD704" s="9"/>
    </row>
    <row r="705" spans="1:30" ht="14.25" customHeight="1">
      <c r="A705" s="11"/>
      <c r="B705" s="12"/>
      <c r="C705" s="12"/>
      <c r="D705" s="12"/>
      <c r="E705" s="12"/>
      <c r="F705" s="12"/>
      <c r="G705" s="12"/>
      <c r="H705" s="12"/>
      <c r="I705" s="12"/>
      <c r="J705" s="12"/>
      <c r="K705" s="13"/>
      <c r="L705" s="9"/>
      <c r="M705" s="9"/>
      <c r="N705" s="9"/>
      <c r="O705" s="9"/>
      <c r="P705" s="9"/>
      <c r="Q705" s="9"/>
      <c r="R705" s="9"/>
      <c r="S705" s="9"/>
      <c r="T705" s="9"/>
      <c r="U705" s="9"/>
      <c r="V705" s="9"/>
      <c r="W705" s="9"/>
      <c r="X705" s="9"/>
      <c r="Y705" s="9"/>
      <c r="Z705" s="9"/>
      <c r="AA705" s="9"/>
      <c r="AB705" s="9"/>
      <c r="AC705" s="9"/>
      <c r="AD705" s="9"/>
    </row>
    <row r="706" spans="1:30" ht="14.25" customHeight="1">
      <c r="A706" s="11"/>
      <c r="B706" s="12"/>
      <c r="C706" s="12"/>
      <c r="D706" s="12"/>
      <c r="E706" s="12"/>
      <c r="F706" s="12"/>
      <c r="G706" s="12"/>
      <c r="H706" s="12"/>
      <c r="I706" s="12"/>
      <c r="J706" s="12"/>
      <c r="K706" s="13"/>
      <c r="L706" s="9"/>
      <c r="M706" s="9"/>
      <c r="N706" s="9"/>
      <c r="O706" s="9"/>
      <c r="P706" s="9"/>
      <c r="Q706" s="9"/>
      <c r="R706" s="9"/>
      <c r="S706" s="9"/>
      <c r="T706" s="9"/>
      <c r="U706" s="9"/>
      <c r="V706" s="9"/>
      <c r="W706" s="9"/>
      <c r="X706" s="9"/>
      <c r="Y706" s="9"/>
      <c r="Z706" s="9"/>
      <c r="AA706" s="9"/>
      <c r="AB706" s="9"/>
      <c r="AC706" s="9"/>
      <c r="AD706" s="9"/>
    </row>
    <row r="707" spans="1:30" ht="14.25" customHeight="1">
      <c r="A707" s="11"/>
      <c r="B707" s="12"/>
      <c r="C707" s="12"/>
      <c r="D707" s="12"/>
      <c r="E707" s="12"/>
      <c r="F707" s="12"/>
      <c r="G707" s="12"/>
      <c r="H707" s="12"/>
      <c r="I707" s="12"/>
      <c r="J707" s="12"/>
      <c r="K707" s="13"/>
      <c r="L707" s="9"/>
      <c r="M707" s="9"/>
      <c r="N707" s="9"/>
      <c r="O707" s="9"/>
      <c r="P707" s="9"/>
      <c r="Q707" s="9"/>
      <c r="R707" s="9"/>
      <c r="S707" s="9"/>
      <c r="T707" s="9"/>
      <c r="U707" s="9"/>
      <c r="V707" s="9"/>
      <c r="W707" s="9"/>
      <c r="X707" s="9"/>
      <c r="Y707" s="9"/>
      <c r="Z707" s="9"/>
      <c r="AA707" s="9"/>
      <c r="AB707" s="9"/>
      <c r="AC707" s="9"/>
      <c r="AD707" s="9"/>
    </row>
    <row r="708" spans="1:30" ht="14.25" customHeight="1">
      <c r="A708" s="11"/>
      <c r="B708" s="12"/>
      <c r="C708" s="12"/>
      <c r="D708" s="12"/>
      <c r="E708" s="12"/>
      <c r="F708" s="12"/>
      <c r="G708" s="12"/>
      <c r="H708" s="12"/>
      <c r="I708" s="12"/>
      <c r="J708" s="12"/>
      <c r="K708" s="13"/>
      <c r="L708" s="9"/>
      <c r="M708" s="9"/>
      <c r="N708" s="9"/>
      <c r="O708" s="9"/>
      <c r="P708" s="9"/>
      <c r="Q708" s="9"/>
      <c r="R708" s="9"/>
      <c r="S708" s="9"/>
      <c r="T708" s="9"/>
      <c r="U708" s="9"/>
      <c r="V708" s="9"/>
      <c r="W708" s="9"/>
      <c r="X708" s="9"/>
      <c r="Y708" s="9"/>
      <c r="Z708" s="9"/>
      <c r="AA708" s="9"/>
      <c r="AB708" s="9"/>
      <c r="AC708" s="9"/>
      <c r="AD708" s="9"/>
    </row>
    <row r="709" spans="1:30" ht="14.25" customHeight="1">
      <c r="A709" s="11"/>
      <c r="B709" s="12"/>
      <c r="C709" s="12"/>
      <c r="D709" s="12"/>
      <c r="E709" s="12"/>
      <c r="F709" s="12"/>
      <c r="G709" s="12"/>
      <c r="H709" s="12"/>
      <c r="I709" s="12"/>
      <c r="J709" s="12"/>
      <c r="K709" s="13"/>
      <c r="L709" s="9"/>
      <c r="M709" s="9"/>
      <c r="N709" s="9"/>
      <c r="O709" s="9"/>
      <c r="P709" s="9"/>
      <c r="Q709" s="9"/>
      <c r="R709" s="9"/>
      <c r="S709" s="9"/>
      <c r="T709" s="9"/>
      <c r="U709" s="9"/>
      <c r="V709" s="9"/>
      <c r="W709" s="9"/>
      <c r="X709" s="9"/>
      <c r="Y709" s="9"/>
      <c r="Z709" s="9"/>
      <c r="AA709" s="9"/>
      <c r="AB709" s="9"/>
      <c r="AC709" s="9"/>
      <c r="AD709" s="9"/>
    </row>
    <row r="710" spans="1:30" ht="14.25" customHeight="1">
      <c r="A710" s="11"/>
      <c r="B710" s="12"/>
      <c r="C710" s="12"/>
      <c r="D710" s="12"/>
      <c r="E710" s="12"/>
      <c r="F710" s="12"/>
      <c r="G710" s="12"/>
      <c r="H710" s="12"/>
      <c r="I710" s="12"/>
      <c r="J710" s="12"/>
      <c r="K710" s="13"/>
      <c r="L710" s="9"/>
      <c r="M710" s="9"/>
      <c r="N710" s="9"/>
      <c r="O710" s="9"/>
      <c r="P710" s="9"/>
      <c r="Q710" s="9"/>
      <c r="R710" s="9"/>
      <c r="S710" s="9"/>
      <c r="T710" s="9"/>
      <c r="U710" s="9"/>
      <c r="V710" s="9"/>
      <c r="W710" s="9"/>
      <c r="X710" s="9"/>
      <c r="Y710" s="9"/>
      <c r="Z710" s="9"/>
      <c r="AA710" s="9"/>
      <c r="AB710" s="9"/>
      <c r="AC710" s="9"/>
      <c r="AD710" s="9"/>
    </row>
    <row r="711" spans="1:30" ht="14.25" customHeight="1">
      <c r="A711" s="11"/>
      <c r="B711" s="12"/>
      <c r="C711" s="12"/>
      <c r="D711" s="12"/>
      <c r="E711" s="12"/>
      <c r="F711" s="12"/>
      <c r="G711" s="12"/>
      <c r="H711" s="12"/>
      <c r="I711" s="12"/>
      <c r="J711" s="12"/>
      <c r="K711" s="13"/>
      <c r="L711" s="9"/>
      <c r="M711" s="9"/>
      <c r="N711" s="9"/>
      <c r="O711" s="9"/>
      <c r="P711" s="9"/>
      <c r="Q711" s="9"/>
      <c r="R711" s="9"/>
      <c r="S711" s="9"/>
      <c r="T711" s="9"/>
      <c r="U711" s="9"/>
      <c r="V711" s="9"/>
      <c r="W711" s="9"/>
      <c r="X711" s="9"/>
      <c r="Y711" s="9"/>
      <c r="Z711" s="9"/>
      <c r="AA711" s="9"/>
      <c r="AB711" s="9"/>
      <c r="AC711" s="9"/>
      <c r="AD711" s="9"/>
    </row>
    <row r="712" spans="1:30" ht="14.25" customHeight="1">
      <c r="A712" s="11"/>
      <c r="B712" s="12"/>
      <c r="C712" s="12"/>
      <c r="D712" s="12"/>
      <c r="E712" s="12"/>
      <c r="F712" s="12"/>
      <c r="G712" s="12"/>
      <c r="H712" s="12"/>
      <c r="I712" s="12"/>
      <c r="J712" s="12"/>
      <c r="K712" s="13"/>
      <c r="L712" s="9"/>
      <c r="M712" s="9"/>
      <c r="N712" s="9"/>
      <c r="O712" s="9"/>
      <c r="P712" s="9"/>
      <c r="Q712" s="9"/>
      <c r="R712" s="9"/>
      <c r="S712" s="9"/>
      <c r="T712" s="9"/>
      <c r="U712" s="9"/>
      <c r="V712" s="9"/>
      <c r="W712" s="9"/>
      <c r="X712" s="9"/>
      <c r="Y712" s="9"/>
      <c r="Z712" s="9"/>
      <c r="AA712" s="9"/>
      <c r="AB712" s="9"/>
      <c r="AC712" s="9"/>
      <c r="AD712" s="9"/>
    </row>
    <row r="713" spans="1:30" ht="14.25" customHeight="1">
      <c r="A713" s="11"/>
      <c r="B713" s="12"/>
      <c r="C713" s="12"/>
      <c r="D713" s="12"/>
      <c r="E713" s="12"/>
      <c r="F713" s="12"/>
      <c r="G713" s="12"/>
      <c r="H713" s="12"/>
      <c r="I713" s="12"/>
      <c r="J713" s="12"/>
      <c r="K713" s="13"/>
      <c r="L713" s="9"/>
      <c r="M713" s="9"/>
      <c r="N713" s="9"/>
      <c r="O713" s="9"/>
      <c r="P713" s="9"/>
      <c r="Q713" s="9"/>
      <c r="R713" s="9"/>
      <c r="S713" s="9"/>
      <c r="T713" s="9"/>
      <c r="U713" s="9"/>
      <c r="V713" s="9"/>
      <c r="W713" s="9"/>
      <c r="X713" s="9"/>
      <c r="Y713" s="9"/>
      <c r="Z713" s="9"/>
      <c r="AA713" s="9"/>
      <c r="AB713" s="9"/>
      <c r="AC713" s="9"/>
      <c r="AD713" s="9"/>
    </row>
    <row r="714" spans="1:30" ht="14.25" customHeight="1">
      <c r="A714" s="11"/>
      <c r="B714" s="12"/>
      <c r="C714" s="12"/>
      <c r="D714" s="12"/>
      <c r="E714" s="12"/>
      <c r="F714" s="12"/>
      <c r="G714" s="12"/>
      <c r="H714" s="12"/>
      <c r="I714" s="12"/>
      <c r="J714" s="12"/>
      <c r="K714" s="13"/>
      <c r="L714" s="9"/>
      <c r="M714" s="9"/>
      <c r="N714" s="9"/>
      <c r="O714" s="9"/>
      <c r="P714" s="9"/>
      <c r="Q714" s="9"/>
      <c r="R714" s="9"/>
      <c r="S714" s="9"/>
      <c r="T714" s="9"/>
      <c r="U714" s="9"/>
      <c r="V714" s="9"/>
      <c r="W714" s="9"/>
      <c r="X714" s="9"/>
      <c r="Y714" s="9"/>
      <c r="Z714" s="9"/>
      <c r="AA714" s="9"/>
      <c r="AB714" s="9"/>
      <c r="AC714" s="9"/>
      <c r="AD714" s="9"/>
    </row>
    <row r="715" spans="1:30" ht="14.25" customHeight="1">
      <c r="A715" s="11"/>
      <c r="B715" s="12"/>
      <c r="C715" s="12"/>
      <c r="D715" s="12"/>
      <c r="E715" s="12"/>
      <c r="F715" s="12"/>
      <c r="G715" s="12"/>
      <c r="H715" s="12"/>
      <c r="I715" s="12"/>
      <c r="J715" s="12"/>
      <c r="K715" s="13"/>
      <c r="L715" s="9"/>
      <c r="M715" s="9"/>
      <c r="N715" s="9"/>
      <c r="O715" s="9"/>
      <c r="P715" s="9"/>
      <c r="Q715" s="9"/>
      <c r="R715" s="9"/>
      <c r="S715" s="9"/>
      <c r="T715" s="9"/>
      <c r="U715" s="9"/>
      <c r="V715" s="9"/>
      <c r="W715" s="9"/>
      <c r="X715" s="9"/>
      <c r="Y715" s="9"/>
      <c r="Z715" s="9"/>
      <c r="AA715" s="9"/>
      <c r="AB715" s="9"/>
      <c r="AC715" s="9"/>
      <c r="AD715" s="9"/>
    </row>
    <row r="716" spans="1:30" ht="14.25" customHeight="1">
      <c r="A716" s="11"/>
      <c r="B716" s="12"/>
      <c r="C716" s="12"/>
      <c r="D716" s="12"/>
      <c r="E716" s="12"/>
      <c r="F716" s="12"/>
      <c r="G716" s="12"/>
      <c r="H716" s="12"/>
      <c r="I716" s="12"/>
      <c r="J716" s="12"/>
      <c r="K716" s="13"/>
      <c r="L716" s="9"/>
      <c r="M716" s="9"/>
      <c r="N716" s="9"/>
      <c r="O716" s="9"/>
      <c r="P716" s="9"/>
      <c r="Q716" s="9"/>
      <c r="R716" s="9"/>
      <c r="S716" s="9"/>
      <c r="T716" s="9"/>
      <c r="U716" s="9"/>
      <c r="V716" s="9"/>
      <c r="W716" s="9"/>
      <c r="X716" s="9"/>
      <c r="Y716" s="9"/>
      <c r="Z716" s="9"/>
      <c r="AA716" s="9"/>
      <c r="AB716" s="9"/>
      <c r="AC716" s="9"/>
      <c r="AD716" s="9"/>
    </row>
    <row r="717" spans="1:30" ht="14.25" customHeight="1">
      <c r="A717" s="11"/>
      <c r="B717" s="12"/>
      <c r="C717" s="12"/>
      <c r="D717" s="12"/>
      <c r="E717" s="12"/>
      <c r="F717" s="12"/>
      <c r="G717" s="12"/>
      <c r="H717" s="12"/>
      <c r="I717" s="12"/>
      <c r="J717" s="12"/>
      <c r="K717" s="13"/>
      <c r="L717" s="9"/>
      <c r="M717" s="9"/>
      <c r="N717" s="9"/>
      <c r="O717" s="9"/>
      <c r="P717" s="9"/>
      <c r="Q717" s="9"/>
      <c r="R717" s="9"/>
      <c r="S717" s="9"/>
      <c r="T717" s="9"/>
      <c r="U717" s="9"/>
      <c r="V717" s="9"/>
      <c r="W717" s="9"/>
      <c r="X717" s="9"/>
      <c r="Y717" s="9"/>
      <c r="Z717" s="9"/>
      <c r="AA717" s="9"/>
      <c r="AB717" s="9"/>
      <c r="AC717" s="9"/>
      <c r="AD717" s="9"/>
    </row>
    <row r="718" spans="1:30" ht="14.25" customHeight="1">
      <c r="A718" s="11"/>
      <c r="B718" s="12"/>
      <c r="C718" s="12"/>
      <c r="D718" s="12"/>
      <c r="E718" s="12"/>
      <c r="F718" s="12"/>
      <c r="G718" s="12"/>
      <c r="H718" s="12"/>
      <c r="I718" s="12"/>
      <c r="J718" s="12"/>
      <c r="K718" s="13"/>
      <c r="L718" s="9"/>
      <c r="M718" s="9"/>
      <c r="N718" s="9"/>
      <c r="O718" s="9"/>
      <c r="P718" s="9"/>
      <c r="Q718" s="9"/>
      <c r="R718" s="9"/>
      <c r="S718" s="9"/>
      <c r="T718" s="9"/>
      <c r="U718" s="9"/>
      <c r="V718" s="9"/>
      <c r="W718" s="9"/>
      <c r="X718" s="9"/>
      <c r="Y718" s="9"/>
      <c r="Z718" s="9"/>
      <c r="AA718" s="9"/>
      <c r="AB718" s="9"/>
      <c r="AC718" s="9"/>
      <c r="AD718" s="9"/>
    </row>
    <row r="719" spans="1:30" ht="14.25" customHeight="1">
      <c r="A719" s="11"/>
      <c r="B719" s="12"/>
      <c r="C719" s="12"/>
      <c r="D719" s="12"/>
      <c r="E719" s="12"/>
      <c r="F719" s="12"/>
      <c r="G719" s="12"/>
      <c r="H719" s="12"/>
      <c r="I719" s="12"/>
      <c r="J719" s="12"/>
      <c r="K719" s="13"/>
      <c r="L719" s="9"/>
      <c r="M719" s="9"/>
      <c r="N719" s="9"/>
      <c r="O719" s="9"/>
      <c r="P719" s="9"/>
      <c r="Q719" s="9"/>
      <c r="R719" s="9"/>
      <c r="S719" s="9"/>
      <c r="T719" s="9"/>
      <c r="U719" s="9"/>
      <c r="V719" s="9"/>
      <c r="W719" s="9"/>
      <c r="X719" s="9"/>
      <c r="Y719" s="9"/>
      <c r="Z719" s="9"/>
      <c r="AA719" s="9"/>
      <c r="AB719" s="9"/>
      <c r="AC719" s="9"/>
      <c r="AD719" s="9"/>
    </row>
    <row r="720" spans="1:30" ht="14.25" customHeight="1">
      <c r="A720" s="11"/>
      <c r="B720" s="12"/>
      <c r="C720" s="12"/>
      <c r="D720" s="12"/>
      <c r="E720" s="12"/>
      <c r="F720" s="12"/>
      <c r="G720" s="12"/>
      <c r="H720" s="12"/>
      <c r="I720" s="12"/>
      <c r="J720" s="12"/>
      <c r="K720" s="13"/>
      <c r="L720" s="9"/>
      <c r="M720" s="9"/>
      <c r="N720" s="9"/>
      <c r="O720" s="9"/>
      <c r="P720" s="9"/>
      <c r="Q720" s="9"/>
      <c r="R720" s="9"/>
      <c r="S720" s="9"/>
      <c r="T720" s="9"/>
      <c r="U720" s="9"/>
      <c r="V720" s="9"/>
      <c r="W720" s="9"/>
      <c r="X720" s="9"/>
      <c r="Y720" s="9"/>
      <c r="Z720" s="9"/>
      <c r="AA720" s="9"/>
      <c r="AB720" s="9"/>
      <c r="AC720" s="9"/>
      <c r="AD720" s="9"/>
    </row>
    <row r="721" spans="1:30" ht="14.25" customHeight="1">
      <c r="A721" s="11"/>
      <c r="B721" s="12"/>
      <c r="C721" s="12"/>
      <c r="D721" s="12"/>
      <c r="E721" s="12"/>
      <c r="F721" s="12"/>
      <c r="G721" s="12"/>
      <c r="H721" s="12"/>
      <c r="I721" s="12"/>
      <c r="J721" s="12"/>
      <c r="K721" s="13"/>
      <c r="L721" s="9"/>
      <c r="M721" s="9"/>
      <c r="N721" s="9"/>
      <c r="O721" s="9"/>
      <c r="P721" s="9"/>
      <c r="Q721" s="9"/>
      <c r="R721" s="9"/>
      <c r="S721" s="9"/>
      <c r="T721" s="9"/>
      <c r="U721" s="9"/>
      <c r="V721" s="9"/>
      <c r="W721" s="9"/>
      <c r="X721" s="9"/>
      <c r="Y721" s="9"/>
      <c r="Z721" s="9"/>
      <c r="AA721" s="9"/>
      <c r="AB721" s="9"/>
      <c r="AC721" s="9"/>
      <c r="AD721" s="9"/>
    </row>
    <row r="722" spans="1:30" ht="14.25" customHeight="1">
      <c r="A722" s="11"/>
      <c r="B722" s="12"/>
      <c r="C722" s="12"/>
      <c r="D722" s="12"/>
      <c r="E722" s="12"/>
      <c r="F722" s="12"/>
      <c r="G722" s="12"/>
      <c r="H722" s="12"/>
      <c r="I722" s="12"/>
      <c r="J722" s="12"/>
      <c r="K722" s="13"/>
      <c r="L722" s="9"/>
      <c r="M722" s="9"/>
      <c r="N722" s="9"/>
      <c r="O722" s="9"/>
      <c r="P722" s="9"/>
      <c r="Q722" s="9"/>
      <c r="R722" s="9"/>
      <c r="S722" s="9"/>
      <c r="T722" s="9"/>
      <c r="U722" s="9"/>
      <c r="V722" s="9"/>
      <c r="W722" s="9"/>
      <c r="X722" s="9"/>
      <c r="Y722" s="9"/>
      <c r="Z722" s="9"/>
      <c r="AA722" s="9"/>
      <c r="AB722" s="9"/>
      <c r="AC722" s="9"/>
      <c r="AD722" s="9"/>
    </row>
    <row r="723" spans="1:30" ht="14.25" customHeight="1">
      <c r="A723" s="11"/>
      <c r="B723" s="12"/>
      <c r="C723" s="12"/>
      <c r="D723" s="12"/>
      <c r="E723" s="12"/>
      <c r="F723" s="12"/>
      <c r="G723" s="12"/>
      <c r="H723" s="12"/>
      <c r="I723" s="12"/>
      <c r="J723" s="12"/>
      <c r="K723" s="13"/>
      <c r="L723" s="9"/>
      <c r="M723" s="9"/>
      <c r="N723" s="9"/>
      <c r="O723" s="9"/>
      <c r="P723" s="9"/>
      <c r="Q723" s="9"/>
      <c r="R723" s="9"/>
      <c r="S723" s="9"/>
      <c r="T723" s="9"/>
      <c r="U723" s="9"/>
      <c r="V723" s="9"/>
      <c r="W723" s="9"/>
      <c r="X723" s="9"/>
      <c r="Y723" s="9"/>
      <c r="Z723" s="9"/>
      <c r="AA723" s="9"/>
      <c r="AB723" s="9"/>
      <c r="AC723" s="9"/>
      <c r="AD723" s="9"/>
    </row>
    <row r="724" spans="1:30" ht="14.25" customHeight="1">
      <c r="A724" s="11"/>
      <c r="B724" s="12"/>
      <c r="C724" s="12"/>
      <c r="D724" s="12"/>
      <c r="E724" s="12"/>
      <c r="F724" s="12"/>
      <c r="G724" s="12"/>
      <c r="H724" s="12"/>
      <c r="I724" s="12"/>
      <c r="J724" s="12"/>
      <c r="K724" s="13"/>
      <c r="L724" s="9"/>
      <c r="M724" s="9"/>
      <c r="N724" s="9"/>
      <c r="O724" s="9"/>
      <c r="P724" s="9"/>
      <c r="Q724" s="9"/>
      <c r="R724" s="9"/>
      <c r="S724" s="9"/>
      <c r="T724" s="9"/>
      <c r="U724" s="9"/>
      <c r="V724" s="9"/>
      <c r="W724" s="9"/>
      <c r="X724" s="9"/>
      <c r="Y724" s="9"/>
      <c r="Z724" s="9"/>
      <c r="AA724" s="9"/>
      <c r="AB724" s="9"/>
      <c r="AC724" s="9"/>
      <c r="AD724" s="9"/>
    </row>
    <row r="725" spans="1:30" ht="14.25" customHeight="1">
      <c r="A725" s="11"/>
      <c r="B725" s="12"/>
      <c r="C725" s="12"/>
      <c r="D725" s="12"/>
      <c r="E725" s="12"/>
      <c r="F725" s="12"/>
      <c r="G725" s="12"/>
      <c r="H725" s="12"/>
      <c r="I725" s="12"/>
      <c r="J725" s="12"/>
      <c r="K725" s="13"/>
      <c r="L725" s="9"/>
      <c r="M725" s="9"/>
      <c r="N725" s="9"/>
      <c r="O725" s="9"/>
      <c r="P725" s="9"/>
      <c r="Q725" s="9"/>
      <c r="R725" s="9"/>
      <c r="S725" s="9"/>
      <c r="T725" s="9"/>
      <c r="U725" s="9"/>
      <c r="V725" s="9"/>
      <c r="W725" s="9"/>
      <c r="X725" s="9"/>
      <c r="Y725" s="9"/>
      <c r="Z725" s="9"/>
      <c r="AA725" s="9"/>
      <c r="AB725" s="9"/>
      <c r="AC725" s="9"/>
      <c r="AD725" s="9"/>
    </row>
    <row r="726" spans="1:30" ht="14.25" customHeight="1">
      <c r="A726" s="11"/>
      <c r="B726" s="12"/>
      <c r="C726" s="12"/>
      <c r="D726" s="12"/>
      <c r="E726" s="12"/>
      <c r="F726" s="12"/>
      <c r="G726" s="12"/>
      <c r="H726" s="12"/>
      <c r="I726" s="12"/>
      <c r="J726" s="12"/>
      <c r="K726" s="13"/>
      <c r="L726" s="9"/>
      <c r="M726" s="9"/>
      <c r="N726" s="9"/>
      <c r="O726" s="9"/>
      <c r="P726" s="9"/>
      <c r="Q726" s="9"/>
      <c r="R726" s="9"/>
      <c r="S726" s="9"/>
      <c r="T726" s="9"/>
      <c r="U726" s="9"/>
      <c r="V726" s="9"/>
      <c r="W726" s="9"/>
      <c r="X726" s="9"/>
      <c r="Y726" s="9"/>
      <c r="Z726" s="9"/>
      <c r="AA726" s="9"/>
      <c r="AB726" s="9"/>
      <c r="AC726" s="9"/>
      <c r="AD726" s="9"/>
    </row>
    <row r="727" spans="1:30" ht="14.25" customHeight="1">
      <c r="A727" s="11"/>
      <c r="B727" s="12"/>
      <c r="C727" s="12"/>
      <c r="D727" s="12"/>
      <c r="E727" s="12"/>
      <c r="F727" s="12"/>
      <c r="G727" s="12"/>
      <c r="H727" s="12"/>
      <c r="I727" s="12"/>
      <c r="J727" s="12"/>
      <c r="K727" s="13"/>
      <c r="L727" s="9"/>
      <c r="M727" s="9"/>
      <c r="N727" s="9"/>
      <c r="O727" s="9"/>
      <c r="P727" s="9"/>
      <c r="Q727" s="9"/>
      <c r="R727" s="9"/>
      <c r="S727" s="9"/>
      <c r="T727" s="9"/>
      <c r="U727" s="9"/>
      <c r="V727" s="9"/>
      <c r="W727" s="9"/>
      <c r="X727" s="9"/>
      <c r="Y727" s="9"/>
      <c r="Z727" s="9"/>
      <c r="AA727" s="9"/>
      <c r="AB727" s="9"/>
      <c r="AC727" s="9"/>
      <c r="AD727" s="9"/>
    </row>
    <row r="728" spans="1:30" ht="14.25" customHeight="1">
      <c r="A728" s="11"/>
      <c r="B728" s="12"/>
      <c r="C728" s="12"/>
      <c r="D728" s="12"/>
      <c r="E728" s="12"/>
      <c r="F728" s="12"/>
      <c r="G728" s="12"/>
      <c r="H728" s="12"/>
      <c r="I728" s="12"/>
      <c r="J728" s="12"/>
      <c r="K728" s="13"/>
      <c r="L728" s="9"/>
      <c r="M728" s="9"/>
      <c r="N728" s="9"/>
      <c r="O728" s="9"/>
      <c r="P728" s="9"/>
      <c r="Q728" s="9"/>
      <c r="R728" s="9"/>
      <c r="S728" s="9"/>
      <c r="T728" s="9"/>
      <c r="U728" s="9"/>
      <c r="V728" s="9"/>
      <c r="W728" s="9"/>
      <c r="X728" s="9"/>
      <c r="Y728" s="9"/>
      <c r="Z728" s="9"/>
      <c r="AA728" s="9"/>
      <c r="AB728" s="9"/>
      <c r="AC728" s="9"/>
      <c r="AD728" s="9"/>
    </row>
    <row r="729" spans="1:30" ht="14.25" customHeight="1">
      <c r="A729" s="11"/>
      <c r="B729" s="12"/>
      <c r="C729" s="12"/>
      <c r="D729" s="12"/>
      <c r="E729" s="12"/>
      <c r="F729" s="12"/>
      <c r="G729" s="12"/>
      <c r="H729" s="12"/>
      <c r="I729" s="12"/>
      <c r="J729" s="12"/>
      <c r="K729" s="13"/>
      <c r="L729" s="9"/>
      <c r="M729" s="9"/>
      <c r="N729" s="9"/>
      <c r="O729" s="9"/>
      <c r="P729" s="9"/>
      <c r="Q729" s="9"/>
      <c r="R729" s="9"/>
      <c r="S729" s="9"/>
      <c r="T729" s="9"/>
      <c r="U729" s="9"/>
      <c r="V729" s="9"/>
      <c r="W729" s="9"/>
      <c r="X729" s="9"/>
      <c r="Y729" s="9"/>
      <c r="Z729" s="9"/>
      <c r="AA729" s="9"/>
      <c r="AB729" s="9"/>
      <c r="AC729" s="9"/>
      <c r="AD729" s="9"/>
    </row>
    <row r="730" spans="1:30" ht="14.25" customHeight="1">
      <c r="A730" s="11"/>
      <c r="B730" s="12"/>
      <c r="C730" s="12"/>
      <c r="D730" s="12"/>
      <c r="E730" s="12"/>
      <c r="F730" s="12"/>
      <c r="G730" s="12"/>
      <c r="H730" s="12"/>
      <c r="I730" s="12"/>
      <c r="J730" s="12"/>
      <c r="K730" s="13"/>
      <c r="L730" s="9"/>
      <c r="M730" s="9"/>
      <c r="N730" s="9"/>
      <c r="O730" s="9"/>
      <c r="P730" s="9"/>
      <c r="Q730" s="9"/>
      <c r="R730" s="9"/>
      <c r="S730" s="9"/>
      <c r="T730" s="9"/>
      <c r="U730" s="9"/>
      <c r="V730" s="9"/>
      <c r="W730" s="9"/>
      <c r="X730" s="9"/>
      <c r="Y730" s="9"/>
      <c r="Z730" s="9"/>
      <c r="AA730" s="9"/>
      <c r="AB730" s="9"/>
      <c r="AC730" s="9"/>
      <c r="AD730" s="9"/>
    </row>
    <row r="731" spans="1:30" ht="14.25" customHeight="1">
      <c r="A731" s="11"/>
      <c r="B731" s="12"/>
      <c r="C731" s="12"/>
      <c r="D731" s="12"/>
      <c r="E731" s="12"/>
      <c r="F731" s="12"/>
      <c r="G731" s="12"/>
      <c r="H731" s="12"/>
      <c r="I731" s="12"/>
      <c r="J731" s="12"/>
      <c r="K731" s="13"/>
      <c r="L731" s="9"/>
      <c r="M731" s="9"/>
      <c r="N731" s="9"/>
      <c r="O731" s="9"/>
      <c r="P731" s="9"/>
      <c r="Q731" s="9"/>
      <c r="R731" s="9"/>
      <c r="S731" s="9"/>
      <c r="T731" s="9"/>
      <c r="U731" s="9"/>
      <c r="V731" s="9"/>
      <c r="W731" s="9"/>
      <c r="X731" s="9"/>
      <c r="Y731" s="9"/>
      <c r="Z731" s="9"/>
      <c r="AA731" s="9"/>
      <c r="AB731" s="9"/>
      <c r="AC731" s="9"/>
      <c r="AD731" s="9"/>
    </row>
    <row r="732" spans="1:30" ht="14.25" customHeight="1">
      <c r="A732" s="11"/>
      <c r="B732" s="12"/>
      <c r="C732" s="12"/>
      <c r="D732" s="12"/>
      <c r="E732" s="12"/>
      <c r="F732" s="12"/>
      <c r="G732" s="12"/>
      <c r="H732" s="12"/>
      <c r="I732" s="12"/>
      <c r="J732" s="12"/>
      <c r="K732" s="13"/>
      <c r="L732" s="9"/>
      <c r="M732" s="9"/>
      <c r="N732" s="9"/>
      <c r="O732" s="9"/>
      <c r="P732" s="9"/>
      <c r="Q732" s="9"/>
      <c r="R732" s="9"/>
      <c r="S732" s="9"/>
      <c r="T732" s="9"/>
      <c r="U732" s="9"/>
      <c r="V732" s="9"/>
      <c r="W732" s="9"/>
      <c r="X732" s="9"/>
      <c r="Y732" s="9"/>
      <c r="Z732" s="9"/>
      <c r="AA732" s="9"/>
      <c r="AB732" s="9"/>
      <c r="AC732" s="9"/>
      <c r="AD732" s="9"/>
    </row>
    <row r="733" spans="1:30" ht="14.25" customHeight="1">
      <c r="A733" s="11"/>
      <c r="B733" s="12"/>
      <c r="C733" s="12"/>
      <c r="D733" s="12"/>
      <c r="E733" s="12"/>
      <c r="F733" s="12"/>
      <c r="G733" s="12"/>
      <c r="H733" s="12"/>
      <c r="I733" s="12"/>
      <c r="J733" s="12"/>
      <c r="K733" s="13"/>
      <c r="L733" s="9"/>
      <c r="M733" s="9"/>
      <c r="N733" s="9"/>
      <c r="O733" s="9"/>
      <c r="P733" s="9"/>
      <c r="Q733" s="9"/>
      <c r="R733" s="9"/>
      <c r="S733" s="9"/>
      <c r="T733" s="9"/>
      <c r="U733" s="9"/>
      <c r="V733" s="9"/>
      <c r="W733" s="9"/>
      <c r="X733" s="9"/>
      <c r="Y733" s="9"/>
      <c r="Z733" s="9"/>
      <c r="AA733" s="9"/>
      <c r="AB733" s="9"/>
      <c r="AC733" s="9"/>
      <c r="AD733" s="9"/>
    </row>
    <row r="734" spans="1:30" ht="14.25" customHeight="1">
      <c r="A734" s="11"/>
      <c r="B734" s="12"/>
      <c r="C734" s="12"/>
      <c r="D734" s="12"/>
      <c r="E734" s="12"/>
      <c r="F734" s="12"/>
      <c r="G734" s="12"/>
      <c r="H734" s="12"/>
      <c r="I734" s="12"/>
      <c r="J734" s="12"/>
      <c r="K734" s="13"/>
      <c r="L734" s="9"/>
      <c r="M734" s="9"/>
      <c r="N734" s="9"/>
      <c r="O734" s="9"/>
      <c r="P734" s="9"/>
      <c r="Q734" s="9"/>
      <c r="R734" s="9"/>
      <c r="S734" s="9"/>
      <c r="T734" s="9"/>
      <c r="U734" s="9"/>
      <c r="V734" s="9"/>
      <c r="W734" s="9"/>
      <c r="X734" s="9"/>
      <c r="Y734" s="9"/>
      <c r="Z734" s="9"/>
      <c r="AA734" s="9"/>
      <c r="AB734" s="9"/>
      <c r="AC734" s="9"/>
      <c r="AD734" s="9"/>
    </row>
    <row r="735" spans="1:30" ht="14.25" customHeight="1">
      <c r="A735" s="11"/>
      <c r="B735" s="12"/>
      <c r="C735" s="12"/>
      <c r="D735" s="12"/>
      <c r="E735" s="12"/>
      <c r="F735" s="12"/>
      <c r="G735" s="12"/>
      <c r="H735" s="12"/>
      <c r="I735" s="12"/>
      <c r="J735" s="12"/>
      <c r="K735" s="13"/>
      <c r="L735" s="9"/>
      <c r="M735" s="9"/>
      <c r="N735" s="9"/>
      <c r="O735" s="9"/>
      <c r="P735" s="9"/>
      <c r="Q735" s="9"/>
      <c r="R735" s="9"/>
      <c r="S735" s="9"/>
      <c r="T735" s="9"/>
      <c r="U735" s="9"/>
      <c r="V735" s="9"/>
      <c r="W735" s="9"/>
      <c r="X735" s="9"/>
      <c r="Y735" s="9"/>
      <c r="Z735" s="9"/>
      <c r="AA735" s="9"/>
      <c r="AB735" s="9"/>
      <c r="AC735" s="9"/>
      <c r="AD735" s="9"/>
    </row>
    <row r="736" spans="1:30" ht="14.25" customHeight="1">
      <c r="A736" s="11"/>
      <c r="B736" s="12"/>
      <c r="C736" s="12"/>
      <c r="D736" s="12"/>
      <c r="E736" s="12"/>
      <c r="F736" s="12"/>
      <c r="G736" s="12"/>
      <c r="H736" s="12"/>
      <c r="I736" s="12"/>
      <c r="J736" s="12"/>
      <c r="K736" s="13"/>
      <c r="L736" s="9"/>
      <c r="M736" s="9"/>
      <c r="N736" s="9"/>
      <c r="O736" s="9"/>
      <c r="P736" s="9"/>
      <c r="Q736" s="9"/>
      <c r="R736" s="9"/>
      <c r="S736" s="9"/>
      <c r="T736" s="9"/>
      <c r="U736" s="9"/>
      <c r="V736" s="9"/>
      <c r="W736" s="9"/>
      <c r="X736" s="9"/>
      <c r="Y736" s="9"/>
      <c r="Z736" s="9"/>
      <c r="AA736" s="9"/>
      <c r="AB736" s="9"/>
      <c r="AC736" s="9"/>
      <c r="AD736" s="9"/>
    </row>
    <row r="737" spans="1:30" ht="14.25" customHeight="1">
      <c r="A737" s="11"/>
      <c r="B737" s="12"/>
      <c r="C737" s="12"/>
      <c r="D737" s="12"/>
      <c r="E737" s="12"/>
      <c r="F737" s="12"/>
      <c r="G737" s="12"/>
      <c r="H737" s="12"/>
      <c r="I737" s="12"/>
      <c r="J737" s="12"/>
      <c r="K737" s="13"/>
      <c r="L737" s="9"/>
      <c r="M737" s="9"/>
      <c r="N737" s="9"/>
      <c r="O737" s="9"/>
      <c r="P737" s="9"/>
      <c r="Q737" s="9"/>
      <c r="R737" s="9"/>
      <c r="S737" s="9"/>
      <c r="T737" s="9"/>
      <c r="U737" s="9"/>
      <c r="V737" s="9"/>
      <c r="W737" s="9"/>
      <c r="X737" s="9"/>
      <c r="Y737" s="9"/>
      <c r="Z737" s="9"/>
      <c r="AA737" s="9"/>
      <c r="AB737" s="9"/>
      <c r="AC737" s="9"/>
      <c r="AD737" s="9"/>
    </row>
    <row r="738" spans="1:30" ht="14.25" customHeight="1">
      <c r="A738" s="11"/>
      <c r="B738" s="12"/>
      <c r="C738" s="12"/>
      <c r="D738" s="12"/>
      <c r="E738" s="12"/>
      <c r="F738" s="12"/>
      <c r="G738" s="12"/>
      <c r="H738" s="12"/>
      <c r="I738" s="12"/>
      <c r="J738" s="12"/>
      <c r="K738" s="13"/>
      <c r="L738" s="9"/>
      <c r="M738" s="9"/>
      <c r="N738" s="9"/>
      <c r="O738" s="9"/>
      <c r="P738" s="9"/>
      <c r="Q738" s="9"/>
      <c r="R738" s="9"/>
      <c r="S738" s="9"/>
      <c r="T738" s="9"/>
      <c r="U738" s="9"/>
      <c r="V738" s="9"/>
      <c r="W738" s="9"/>
      <c r="X738" s="9"/>
      <c r="Y738" s="9"/>
      <c r="Z738" s="9"/>
      <c r="AA738" s="9"/>
      <c r="AB738" s="9"/>
      <c r="AC738" s="9"/>
      <c r="AD738" s="9"/>
    </row>
    <row r="739" spans="1:30" ht="14.25" customHeight="1">
      <c r="A739" s="11"/>
      <c r="B739" s="12"/>
      <c r="C739" s="12"/>
      <c r="D739" s="12"/>
      <c r="E739" s="12"/>
      <c r="F739" s="12"/>
      <c r="G739" s="12"/>
      <c r="H739" s="12"/>
      <c r="I739" s="12"/>
      <c r="J739" s="12"/>
      <c r="K739" s="13"/>
      <c r="L739" s="9"/>
      <c r="M739" s="9"/>
      <c r="N739" s="9"/>
      <c r="O739" s="9"/>
      <c r="P739" s="9"/>
      <c r="Q739" s="9"/>
      <c r="R739" s="9"/>
      <c r="S739" s="9"/>
      <c r="T739" s="9"/>
      <c r="U739" s="9"/>
      <c r="V739" s="9"/>
      <c r="W739" s="9"/>
      <c r="X739" s="9"/>
      <c r="Y739" s="9"/>
      <c r="Z739" s="9"/>
      <c r="AA739" s="9"/>
      <c r="AB739" s="9"/>
      <c r="AC739" s="9"/>
      <c r="AD739" s="9"/>
    </row>
    <row r="740" spans="1:30" ht="14.25" customHeight="1">
      <c r="A740" s="11"/>
      <c r="B740" s="12"/>
      <c r="C740" s="12"/>
      <c r="D740" s="12"/>
      <c r="E740" s="12"/>
      <c r="F740" s="12"/>
      <c r="G740" s="12"/>
      <c r="H740" s="12"/>
      <c r="I740" s="12"/>
      <c r="J740" s="12"/>
      <c r="K740" s="13"/>
      <c r="L740" s="9"/>
      <c r="M740" s="9"/>
      <c r="N740" s="9"/>
      <c r="O740" s="9"/>
      <c r="P740" s="9"/>
      <c r="Q740" s="9"/>
      <c r="R740" s="9"/>
      <c r="S740" s="9"/>
      <c r="T740" s="9"/>
      <c r="U740" s="9"/>
      <c r="V740" s="9"/>
      <c r="W740" s="9"/>
      <c r="X740" s="9"/>
      <c r="Y740" s="9"/>
      <c r="Z740" s="9"/>
      <c r="AA740" s="9"/>
      <c r="AB740" s="9"/>
      <c r="AC740" s="9"/>
      <c r="AD740" s="9"/>
    </row>
    <row r="741" spans="1:30" ht="14.25" customHeight="1">
      <c r="A741" s="11"/>
      <c r="B741" s="12"/>
      <c r="C741" s="12"/>
      <c r="D741" s="12"/>
      <c r="E741" s="12"/>
      <c r="F741" s="12"/>
      <c r="G741" s="12"/>
      <c r="H741" s="12"/>
      <c r="I741" s="12"/>
      <c r="J741" s="12"/>
      <c r="K741" s="13"/>
      <c r="L741" s="9"/>
      <c r="M741" s="9"/>
      <c r="N741" s="9"/>
      <c r="O741" s="9"/>
      <c r="P741" s="9"/>
      <c r="Q741" s="9"/>
      <c r="R741" s="9"/>
      <c r="S741" s="9"/>
      <c r="T741" s="9"/>
      <c r="U741" s="9"/>
      <c r="V741" s="9"/>
      <c r="W741" s="9"/>
      <c r="X741" s="9"/>
      <c r="Y741" s="9"/>
      <c r="Z741" s="9"/>
      <c r="AA741" s="9"/>
      <c r="AB741" s="9"/>
      <c r="AC741" s="9"/>
      <c r="AD741" s="9"/>
    </row>
    <row r="742" spans="1:30" ht="14.25" customHeight="1">
      <c r="A742" s="11"/>
      <c r="B742" s="12"/>
      <c r="C742" s="12"/>
      <c r="D742" s="12"/>
      <c r="E742" s="12"/>
      <c r="F742" s="12"/>
      <c r="G742" s="12"/>
      <c r="H742" s="12"/>
      <c r="I742" s="12"/>
      <c r="J742" s="12"/>
      <c r="K742" s="13"/>
      <c r="L742" s="9"/>
      <c r="M742" s="9"/>
      <c r="N742" s="9"/>
      <c r="O742" s="9"/>
      <c r="P742" s="9"/>
      <c r="Q742" s="9"/>
      <c r="R742" s="9"/>
      <c r="S742" s="9"/>
      <c r="T742" s="9"/>
      <c r="U742" s="9"/>
      <c r="V742" s="9"/>
      <c r="W742" s="9"/>
      <c r="X742" s="9"/>
      <c r="Y742" s="9"/>
      <c r="Z742" s="9"/>
      <c r="AA742" s="9"/>
      <c r="AB742" s="9"/>
      <c r="AC742" s="9"/>
      <c r="AD742" s="9"/>
    </row>
    <row r="743" spans="1:30" ht="14.25" customHeight="1">
      <c r="A743" s="11"/>
      <c r="B743" s="12"/>
      <c r="C743" s="12"/>
      <c r="D743" s="12"/>
      <c r="E743" s="12"/>
      <c r="F743" s="12"/>
      <c r="G743" s="12"/>
      <c r="H743" s="12"/>
      <c r="I743" s="12"/>
      <c r="J743" s="12"/>
      <c r="K743" s="13"/>
      <c r="L743" s="9"/>
      <c r="M743" s="9"/>
      <c r="N743" s="9"/>
      <c r="O743" s="9"/>
      <c r="P743" s="9"/>
      <c r="Q743" s="9"/>
      <c r="R743" s="9"/>
      <c r="S743" s="9"/>
      <c r="T743" s="9"/>
      <c r="U743" s="9"/>
      <c r="V743" s="9"/>
      <c r="W743" s="9"/>
      <c r="X743" s="9"/>
      <c r="Y743" s="9"/>
      <c r="Z743" s="9"/>
      <c r="AA743" s="9"/>
      <c r="AB743" s="9"/>
      <c r="AC743" s="9"/>
      <c r="AD743" s="9"/>
    </row>
    <row r="744" spans="1:30" ht="14.25" customHeight="1">
      <c r="A744" s="11"/>
      <c r="B744" s="12"/>
      <c r="C744" s="12"/>
      <c r="D744" s="12"/>
      <c r="E744" s="12"/>
      <c r="F744" s="12"/>
      <c r="G744" s="12"/>
      <c r="H744" s="12"/>
      <c r="I744" s="12"/>
      <c r="J744" s="12"/>
      <c r="K744" s="13"/>
      <c r="L744" s="9"/>
      <c r="M744" s="9"/>
      <c r="N744" s="9"/>
      <c r="O744" s="9"/>
      <c r="P744" s="9"/>
      <c r="Q744" s="9"/>
      <c r="R744" s="9"/>
      <c r="S744" s="9"/>
      <c r="T744" s="9"/>
      <c r="U744" s="9"/>
      <c r="V744" s="9"/>
      <c r="W744" s="9"/>
      <c r="X744" s="9"/>
      <c r="Y744" s="9"/>
      <c r="Z744" s="9"/>
      <c r="AA744" s="9"/>
      <c r="AB744" s="9"/>
      <c r="AC744" s="9"/>
      <c r="AD744" s="9"/>
    </row>
    <row r="745" spans="1:30" ht="14.25" customHeight="1">
      <c r="A745" s="11"/>
      <c r="B745" s="12"/>
      <c r="C745" s="12"/>
      <c r="D745" s="12"/>
      <c r="E745" s="12"/>
      <c r="F745" s="12"/>
      <c r="G745" s="12"/>
      <c r="H745" s="12"/>
      <c r="I745" s="12"/>
      <c r="J745" s="12"/>
      <c r="K745" s="13"/>
      <c r="L745" s="9"/>
      <c r="M745" s="9"/>
      <c r="N745" s="9"/>
      <c r="O745" s="9"/>
      <c r="P745" s="9"/>
      <c r="Q745" s="9"/>
      <c r="R745" s="9"/>
      <c r="S745" s="9"/>
      <c r="T745" s="9"/>
      <c r="U745" s="9"/>
      <c r="V745" s="9"/>
      <c r="W745" s="9"/>
      <c r="X745" s="9"/>
      <c r="Y745" s="9"/>
      <c r="Z745" s="9"/>
      <c r="AA745" s="9"/>
      <c r="AB745" s="9"/>
      <c r="AC745" s="9"/>
      <c r="AD745" s="9"/>
    </row>
    <row r="746" spans="1:30" ht="14.25" customHeight="1">
      <c r="A746" s="11"/>
      <c r="B746" s="12"/>
      <c r="C746" s="12"/>
      <c r="D746" s="12"/>
      <c r="E746" s="12"/>
      <c r="F746" s="12"/>
      <c r="G746" s="12"/>
      <c r="H746" s="12"/>
      <c r="I746" s="12"/>
      <c r="J746" s="12"/>
      <c r="K746" s="13"/>
      <c r="L746" s="9"/>
      <c r="M746" s="9"/>
      <c r="N746" s="9"/>
      <c r="O746" s="9"/>
      <c r="P746" s="9"/>
      <c r="Q746" s="9"/>
      <c r="R746" s="9"/>
      <c r="S746" s="9"/>
      <c r="T746" s="9"/>
      <c r="U746" s="9"/>
      <c r="V746" s="9"/>
      <c r="W746" s="9"/>
      <c r="X746" s="9"/>
      <c r="Y746" s="9"/>
      <c r="Z746" s="9"/>
      <c r="AA746" s="9"/>
      <c r="AB746" s="9"/>
      <c r="AC746" s="9"/>
      <c r="AD746" s="9"/>
    </row>
    <row r="747" spans="1:30" ht="14.25" customHeight="1">
      <c r="A747" s="11"/>
      <c r="B747" s="12"/>
      <c r="C747" s="12"/>
      <c r="D747" s="12"/>
      <c r="E747" s="12"/>
      <c r="F747" s="12"/>
      <c r="G747" s="12"/>
      <c r="H747" s="12"/>
      <c r="I747" s="12"/>
      <c r="J747" s="12"/>
      <c r="K747" s="13"/>
      <c r="L747" s="9"/>
      <c r="M747" s="9"/>
      <c r="N747" s="9"/>
      <c r="O747" s="9"/>
      <c r="P747" s="9"/>
      <c r="Q747" s="9"/>
      <c r="R747" s="9"/>
      <c r="S747" s="9"/>
      <c r="T747" s="9"/>
      <c r="U747" s="9"/>
      <c r="V747" s="9"/>
      <c r="W747" s="9"/>
      <c r="X747" s="9"/>
      <c r="Y747" s="9"/>
      <c r="Z747" s="9"/>
      <c r="AA747" s="9"/>
      <c r="AB747" s="9"/>
      <c r="AC747" s="9"/>
      <c r="AD747" s="9"/>
    </row>
    <row r="748" spans="1:30" ht="14.25" customHeight="1">
      <c r="A748" s="11"/>
      <c r="B748" s="12"/>
      <c r="C748" s="12"/>
      <c r="D748" s="12"/>
      <c r="E748" s="12"/>
      <c r="F748" s="12"/>
      <c r="G748" s="12"/>
      <c r="H748" s="12"/>
      <c r="I748" s="12"/>
      <c r="J748" s="12"/>
      <c r="K748" s="13"/>
      <c r="L748" s="9"/>
      <c r="M748" s="9"/>
      <c r="N748" s="9"/>
      <c r="O748" s="9"/>
      <c r="P748" s="9"/>
      <c r="Q748" s="9"/>
      <c r="R748" s="9"/>
      <c r="S748" s="9"/>
      <c r="T748" s="9"/>
      <c r="U748" s="9"/>
      <c r="V748" s="9"/>
      <c r="W748" s="9"/>
      <c r="X748" s="9"/>
      <c r="Y748" s="9"/>
      <c r="Z748" s="9"/>
      <c r="AA748" s="9"/>
      <c r="AB748" s="9"/>
      <c r="AC748" s="9"/>
      <c r="AD748" s="9"/>
    </row>
    <row r="749" spans="1:30" ht="14.25" customHeight="1">
      <c r="A749" s="11"/>
      <c r="B749" s="12"/>
      <c r="C749" s="12"/>
      <c r="D749" s="12"/>
      <c r="E749" s="12"/>
      <c r="F749" s="12"/>
      <c r="G749" s="12"/>
      <c r="H749" s="12"/>
      <c r="I749" s="12"/>
      <c r="J749" s="12"/>
      <c r="K749" s="13"/>
      <c r="L749" s="9"/>
      <c r="M749" s="9"/>
      <c r="N749" s="9"/>
      <c r="O749" s="9"/>
      <c r="P749" s="9"/>
      <c r="Q749" s="9"/>
      <c r="R749" s="9"/>
      <c r="S749" s="9"/>
      <c r="T749" s="9"/>
      <c r="U749" s="9"/>
      <c r="V749" s="9"/>
      <c r="W749" s="9"/>
      <c r="X749" s="9"/>
      <c r="Y749" s="9"/>
      <c r="Z749" s="9"/>
      <c r="AA749" s="9"/>
      <c r="AB749" s="9"/>
      <c r="AC749" s="9"/>
      <c r="AD749" s="9"/>
    </row>
    <row r="750" spans="1:30" ht="14.25" customHeight="1">
      <c r="A750" s="11"/>
      <c r="B750" s="12"/>
      <c r="C750" s="12"/>
      <c r="D750" s="12"/>
      <c r="E750" s="12"/>
      <c r="F750" s="12"/>
      <c r="G750" s="12"/>
      <c r="H750" s="12"/>
      <c r="I750" s="12"/>
      <c r="J750" s="12"/>
      <c r="K750" s="13"/>
      <c r="L750" s="9"/>
      <c r="M750" s="9"/>
      <c r="N750" s="9"/>
      <c r="O750" s="9"/>
      <c r="P750" s="9"/>
      <c r="Q750" s="9"/>
      <c r="R750" s="9"/>
      <c r="S750" s="9"/>
      <c r="T750" s="9"/>
      <c r="U750" s="9"/>
      <c r="V750" s="9"/>
      <c r="W750" s="9"/>
      <c r="X750" s="9"/>
      <c r="Y750" s="9"/>
      <c r="Z750" s="9"/>
      <c r="AA750" s="9"/>
      <c r="AB750" s="9"/>
      <c r="AC750" s="9"/>
      <c r="AD750" s="9"/>
    </row>
    <row r="751" spans="1:30" ht="14.25" customHeight="1">
      <c r="A751" s="11"/>
      <c r="B751" s="12"/>
      <c r="C751" s="12"/>
      <c r="D751" s="12"/>
      <c r="E751" s="12"/>
      <c r="F751" s="12"/>
      <c r="G751" s="12"/>
      <c r="H751" s="12"/>
      <c r="I751" s="12"/>
      <c r="J751" s="12"/>
      <c r="K751" s="13"/>
      <c r="L751" s="9"/>
      <c r="M751" s="9"/>
      <c r="N751" s="9"/>
      <c r="O751" s="9"/>
      <c r="P751" s="9"/>
      <c r="Q751" s="9"/>
      <c r="R751" s="9"/>
      <c r="S751" s="9"/>
      <c r="T751" s="9"/>
      <c r="U751" s="9"/>
      <c r="V751" s="9"/>
      <c r="W751" s="9"/>
      <c r="X751" s="9"/>
      <c r="Y751" s="9"/>
      <c r="Z751" s="9"/>
      <c r="AA751" s="9"/>
      <c r="AB751" s="9"/>
      <c r="AC751" s="9"/>
      <c r="AD751" s="9"/>
    </row>
    <row r="752" spans="1:30" ht="14.25" customHeight="1">
      <c r="A752" s="11"/>
      <c r="B752" s="12"/>
      <c r="C752" s="12"/>
      <c r="D752" s="12"/>
      <c r="E752" s="12"/>
      <c r="F752" s="12"/>
      <c r="G752" s="12"/>
      <c r="H752" s="12"/>
      <c r="I752" s="12"/>
      <c r="J752" s="12"/>
      <c r="K752" s="13"/>
      <c r="L752" s="9"/>
      <c r="M752" s="9"/>
      <c r="N752" s="9"/>
      <c r="O752" s="9"/>
      <c r="P752" s="9"/>
      <c r="Q752" s="9"/>
      <c r="R752" s="9"/>
      <c r="S752" s="9"/>
      <c r="T752" s="9"/>
      <c r="U752" s="9"/>
      <c r="V752" s="9"/>
      <c r="W752" s="9"/>
      <c r="X752" s="9"/>
      <c r="Y752" s="9"/>
      <c r="Z752" s="9"/>
      <c r="AA752" s="9"/>
      <c r="AB752" s="9"/>
      <c r="AC752" s="9"/>
      <c r="AD752" s="9"/>
    </row>
    <row r="753" spans="1:30" ht="14.25" customHeight="1">
      <c r="A753" s="11"/>
      <c r="B753" s="12"/>
      <c r="C753" s="12"/>
      <c r="D753" s="12"/>
      <c r="E753" s="12"/>
      <c r="F753" s="12"/>
      <c r="G753" s="12"/>
      <c r="H753" s="12"/>
      <c r="I753" s="12"/>
      <c r="J753" s="12"/>
      <c r="K753" s="13"/>
      <c r="L753" s="9"/>
      <c r="M753" s="9"/>
      <c r="N753" s="9"/>
      <c r="O753" s="9"/>
      <c r="P753" s="9"/>
      <c r="Q753" s="9"/>
      <c r="R753" s="9"/>
      <c r="S753" s="9"/>
      <c r="T753" s="9"/>
      <c r="U753" s="9"/>
      <c r="V753" s="9"/>
      <c r="W753" s="9"/>
      <c r="X753" s="9"/>
      <c r="Y753" s="9"/>
      <c r="Z753" s="9"/>
      <c r="AA753" s="9"/>
      <c r="AB753" s="9"/>
      <c r="AC753" s="9"/>
      <c r="AD753" s="9"/>
    </row>
    <row r="754" spans="1:30" ht="14.25" customHeight="1">
      <c r="A754" s="11"/>
      <c r="B754" s="12"/>
      <c r="C754" s="12"/>
      <c r="D754" s="12"/>
      <c r="E754" s="12"/>
      <c r="F754" s="12"/>
      <c r="G754" s="12"/>
      <c r="H754" s="12"/>
      <c r="I754" s="12"/>
      <c r="J754" s="12"/>
      <c r="K754" s="13"/>
      <c r="L754" s="9"/>
      <c r="M754" s="9"/>
      <c r="N754" s="9"/>
      <c r="O754" s="9"/>
      <c r="P754" s="9"/>
      <c r="Q754" s="9"/>
      <c r="R754" s="9"/>
      <c r="S754" s="9"/>
      <c r="T754" s="9"/>
      <c r="U754" s="9"/>
      <c r="V754" s="9"/>
      <c r="W754" s="9"/>
      <c r="X754" s="9"/>
      <c r="Y754" s="9"/>
      <c r="Z754" s="9"/>
      <c r="AA754" s="9"/>
      <c r="AB754" s="9"/>
      <c r="AC754" s="9"/>
      <c r="AD754" s="9"/>
    </row>
    <row r="755" spans="1:30" ht="14.25" customHeight="1">
      <c r="A755" s="11"/>
      <c r="B755" s="12"/>
      <c r="C755" s="12"/>
      <c r="D755" s="12"/>
      <c r="E755" s="12"/>
      <c r="F755" s="12"/>
      <c r="G755" s="12"/>
      <c r="H755" s="12"/>
      <c r="I755" s="12"/>
      <c r="J755" s="12"/>
      <c r="K755" s="13"/>
      <c r="L755" s="9"/>
      <c r="M755" s="9"/>
      <c r="N755" s="9"/>
      <c r="O755" s="9"/>
      <c r="P755" s="9"/>
      <c r="Q755" s="9"/>
      <c r="R755" s="9"/>
      <c r="S755" s="9"/>
      <c r="T755" s="9"/>
      <c r="U755" s="9"/>
      <c r="V755" s="9"/>
      <c r="W755" s="9"/>
      <c r="X755" s="9"/>
      <c r="Y755" s="9"/>
      <c r="Z755" s="9"/>
      <c r="AA755" s="9"/>
      <c r="AB755" s="9"/>
      <c r="AC755" s="9"/>
      <c r="AD755" s="9"/>
    </row>
    <row r="756" spans="1:30" ht="14.25" customHeight="1">
      <c r="A756" s="11"/>
      <c r="B756" s="12"/>
      <c r="C756" s="12"/>
      <c r="D756" s="12"/>
      <c r="E756" s="12"/>
      <c r="F756" s="12"/>
      <c r="G756" s="12"/>
      <c r="H756" s="12"/>
      <c r="I756" s="12"/>
      <c r="J756" s="12"/>
      <c r="K756" s="13"/>
      <c r="L756" s="9"/>
      <c r="M756" s="9"/>
      <c r="N756" s="9"/>
      <c r="O756" s="9"/>
      <c r="P756" s="9"/>
      <c r="Q756" s="9"/>
      <c r="R756" s="9"/>
      <c r="S756" s="9"/>
      <c r="T756" s="9"/>
      <c r="U756" s="9"/>
      <c r="V756" s="9"/>
      <c r="W756" s="9"/>
      <c r="X756" s="9"/>
      <c r="Y756" s="9"/>
      <c r="Z756" s="9"/>
      <c r="AA756" s="9"/>
      <c r="AB756" s="9"/>
      <c r="AC756" s="9"/>
      <c r="AD756" s="9"/>
    </row>
    <row r="757" spans="1:30" ht="14.25" customHeight="1">
      <c r="A757" s="11"/>
      <c r="B757" s="12"/>
      <c r="C757" s="12"/>
      <c r="D757" s="12"/>
      <c r="E757" s="12"/>
      <c r="F757" s="12"/>
      <c r="G757" s="12"/>
      <c r="H757" s="12"/>
      <c r="I757" s="12"/>
      <c r="J757" s="12"/>
      <c r="K757" s="13"/>
      <c r="L757" s="9"/>
      <c r="M757" s="9"/>
      <c r="N757" s="9"/>
      <c r="O757" s="9"/>
      <c r="P757" s="9"/>
      <c r="Q757" s="9"/>
      <c r="R757" s="9"/>
      <c r="S757" s="9"/>
      <c r="T757" s="9"/>
      <c r="U757" s="9"/>
      <c r="V757" s="9"/>
      <c r="W757" s="9"/>
      <c r="X757" s="9"/>
      <c r="Y757" s="9"/>
      <c r="Z757" s="9"/>
      <c r="AA757" s="9"/>
      <c r="AB757" s="9"/>
      <c r="AC757" s="9"/>
      <c r="AD757" s="9"/>
    </row>
    <row r="758" spans="1:30" ht="14.25" customHeight="1">
      <c r="A758" s="11"/>
      <c r="B758" s="12"/>
      <c r="C758" s="12"/>
      <c r="D758" s="12"/>
      <c r="E758" s="12"/>
      <c r="F758" s="12"/>
      <c r="G758" s="12"/>
      <c r="H758" s="12"/>
      <c r="I758" s="12"/>
      <c r="J758" s="12"/>
      <c r="K758" s="13"/>
      <c r="L758" s="9"/>
      <c r="M758" s="9"/>
      <c r="N758" s="9"/>
      <c r="O758" s="9"/>
      <c r="P758" s="9"/>
      <c r="Q758" s="9"/>
      <c r="R758" s="9"/>
      <c r="S758" s="9"/>
      <c r="T758" s="9"/>
      <c r="U758" s="9"/>
      <c r="V758" s="9"/>
      <c r="W758" s="9"/>
      <c r="X758" s="9"/>
      <c r="Y758" s="9"/>
      <c r="Z758" s="9"/>
      <c r="AA758" s="9"/>
      <c r="AB758" s="9"/>
      <c r="AC758" s="9"/>
      <c r="AD758" s="9"/>
    </row>
    <row r="759" spans="1:30" ht="14.25" customHeight="1">
      <c r="A759" s="11"/>
      <c r="B759" s="12"/>
      <c r="C759" s="12"/>
      <c r="D759" s="12"/>
      <c r="E759" s="12"/>
      <c r="F759" s="12"/>
      <c r="G759" s="12"/>
      <c r="H759" s="12"/>
      <c r="I759" s="12"/>
      <c r="J759" s="12"/>
      <c r="K759" s="13"/>
      <c r="L759" s="9"/>
      <c r="M759" s="9"/>
      <c r="N759" s="9"/>
      <c r="O759" s="9"/>
      <c r="P759" s="9"/>
      <c r="Q759" s="9"/>
      <c r="R759" s="9"/>
      <c r="S759" s="9"/>
      <c r="T759" s="9"/>
      <c r="U759" s="9"/>
      <c r="V759" s="9"/>
      <c r="W759" s="9"/>
      <c r="X759" s="9"/>
      <c r="Y759" s="9"/>
      <c r="Z759" s="9"/>
      <c r="AA759" s="9"/>
      <c r="AB759" s="9"/>
      <c r="AC759" s="9"/>
      <c r="AD759" s="9"/>
    </row>
    <row r="760" spans="1:30" ht="14.25" customHeight="1">
      <c r="A760" s="11"/>
      <c r="B760" s="12"/>
      <c r="C760" s="12"/>
      <c r="D760" s="12"/>
      <c r="E760" s="12"/>
      <c r="F760" s="12"/>
      <c r="G760" s="12"/>
      <c r="H760" s="12"/>
      <c r="I760" s="12"/>
      <c r="J760" s="12"/>
      <c r="K760" s="13"/>
      <c r="L760" s="9"/>
      <c r="M760" s="9"/>
      <c r="N760" s="9"/>
      <c r="O760" s="9"/>
      <c r="P760" s="9"/>
      <c r="Q760" s="9"/>
      <c r="R760" s="9"/>
      <c r="S760" s="9"/>
      <c r="T760" s="9"/>
      <c r="U760" s="9"/>
      <c r="V760" s="9"/>
      <c r="W760" s="9"/>
      <c r="X760" s="9"/>
      <c r="Y760" s="9"/>
      <c r="Z760" s="9"/>
      <c r="AA760" s="9"/>
      <c r="AB760" s="9"/>
      <c r="AC760" s="9"/>
      <c r="AD760" s="9"/>
    </row>
    <row r="761" spans="1:30" ht="14.25" customHeight="1">
      <c r="A761" s="11"/>
      <c r="B761" s="12"/>
      <c r="C761" s="12"/>
      <c r="D761" s="12"/>
      <c r="E761" s="12"/>
      <c r="F761" s="12"/>
      <c r="G761" s="12"/>
      <c r="H761" s="12"/>
      <c r="I761" s="12"/>
      <c r="J761" s="12"/>
      <c r="K761" s="13"/>
      <c r="L761" s="9"/>
      <c r="M761" s="9"/>
      <c r="N761" s="9"/>
      <c r="O761" s="9"/>
      <c r="P761" s="9"/>
      <c r="Q761" s="9"/>
      <c r="R761" s="9"/>
      <c r="S761" s="9"/>
      <c r="T761" s="9"/>
      <c r="U761" s="9"/>
      <c r="V761" s="9"/>
      <c r="W761" s="9"/>
      <c r="X761" s="9"/>
      <c r="Y761" s="9"/>
      <c r="Z761" s="9"/>
      <c r="AA761" s="9"/>
      <c r="AB761" s="9"/>
      <c r="AC761" s="9"/>
      <c r="AD761" s="9"/>
    </row>
    <row r="762" spans="1:30" ht="14.25" customHeight="1">
      <c r="A762" s="11"/>
      <c r="B762" s="12"/>
      <c r="C762" s="12"/>
      <c r="D762" s="12"/>
      <c r="E762" s="12"/>
      <c r="F762" s="12"/>
      <c r="G762" s="12"/>
      <c r="H762" s="12"/>
      <c r="I762" s="12"/>
      <c r="J762" s="12"/>
      <c r="K762" s="13"/>
      <c r="L762" s="9"/>
      <c r="M762" s="9"/>
      <c r="N762" s="9"/>
      <c r="O762" s="9"/>
      <c r="P762" s="9"/>
      <c r="Q762" s="9"/>
      <c r="R762" s="9"/>
      <c r="S762" s="9"/>
      <c r="T762" s="9"/>
      <c r="U762" s="9"/>
      <c r="V762" s="9"/>
      <c r="W762" s="9"/>
      <c r="X762" s="9"/>
      <c r="Y762" s="9"/>
      <c r="Z762" s="9"/>
      <c r="AA762" s="9"/>
      <c r="AB762" s="9"/>
      <c r="AC762" s="9"/>
      <c r="AD762" s="9"/>
    </row>
    <row r="763" spans="1:30" ht="14.25" customHeight="1">
      <c r="A763" s="11"/>
      <c r="B763" s="12"/>
      <c r="C763" s="12"/>
      <c r="D763" s="12"/>
      <c r="E763" s="12"/>
      <c r="F763" s="12"/>
      <c r="G763" s="12"/>
      <c r="H763" s="12"/>
      <c r="I763" s="12"/>
      <c r="J763" s="12"/>
      <c r="K763" s="13"/>
      <c r="L763" s="9"/>
      <c r="M763" s="9"/>
      <c r="N763" s="9"/>
      <c r="O763" s="9"/>
      <c r="P763" s="9"/>
      <c r="Q763" s="9"/>
      <c r="R763" s="9"/>
      <c r="S763" s="9"/>
      <c r="T763" s="9"/>
      <c r="U763" s="9"/>
      <c r="V763" s="9"/>
      <c r="W763" s="9"/>
      <c r="X763" s="9"/>
      <c r="Y763" s="9"/>
      <c r="Z763" s="9"/>
      <c r="AA763" s="9"/>
      <c r="AB763" s="9"/>
      <c r="AC763" s="9"/>
      <c r="AD763" s="9"/>
    </row>
    <row r="764" spans="1:30" ht="14.25" customHeight="1">
      <c r="A764" s="11"/>
      <c r="B764" s="12"/>
      <c r="C764" s="12"/>
      <c r="D764" s="12"/>
      <c r="E764" s="12"/>
      <c r="F764" s="12"/>
      <c r="G764" s="12"/>
      <c r="H764" s="12"/>
      <c r="I764" s="12"/>
      <c r="J764" s="12"/>
      <c r="K764" s="13"/>
      <c r="L764" s="9"/>
      <c r="M764" s="9"/>
      <c r="N764" s="9"/>
      <c r="O764" s="9"/>
      <c r="P764" s="9"/>
      <c r="Q764" s="9"/>
      <c r="R764" s="9"/>
      <c r="S764" s="9"/>
      <c r="T764" s="9"/>
      <c r="U764" s="9"/>
      <c r="V764" s="9"/>
      <c r="W764" s="9"/>
      <c r="X764" s="9"/>
      <c r="Y764" s="9"/>
      <c r="Z764" s="9"/>
      <c r="AA764" s="9"/>
      <c r="AB764" s="9"/>
      <c r="AC764" s="9"/>
      <c r="AD764" s="9"/>
    </row>
    <row r="765" spans="1:30" ht="14.25" customHeight="1">
      <c r="A765" s="11"/>
      <c r="B765" s="12"/>
      <c r="C765" s="12"/>
      <c r="D765" s="12"/>
      <c r="E765" s="12"/>
      <c r="F765" s="12"/>
      <c r="G765" s="12"/>
      <c r="H765" s="12"/>
      <c r="I765" s="12"/>
      <c r="J765" s="12"/>
      <c r="K765" s="13"/>
      <c r="L765" s="9"/>
      <c r="M765" s="9"/>
      <c r="N765" s="9"/>
      <c r="O765" s="9"/>
      <c r="P765" s="9"/>
      <c r="Q765" s="9"/>
      <c r="R765" s="9"/>
      <c r="S765" s="9"/>
      <c r="T765" s="9"/>
      <c r="U765" s="9"/>
      <c r="V765" s="9"/>
      <c r="W765" s="9"/>
      <c r="X765" s="9"/>
      <c r="Y765" s="9"/>
      <c r="Z765" s="9"/>
      <c r="AA765" s="9"/>
      <c r="AB765" s="9"/>
      <c r="AC765" s="9"/>
      <c r="AD765" s="9"/>
    </row>
    <row r="766" spans="1:30" ht="14.25" customHeight="1">
      <c r="A766" s="11"/>
      <c r="B766" s="12"/>
      <c r="C766" s="12"/>
      <c r="D766" s="12"/>
      <c r="E766" s="12"/>
      <c r="F766" s="12"/>
      <c r="G766" s="12"/>
      <c r="H766" s="12"/>
      <c r="I766" s="12"/>
      <c r="J766" s="12"/>
      <c r="K766" s="13"/>
      <c r="L766" s="9"/>
      <c r="M766" s="9"/>
      <c r="N766" s="9"/>
      <c r="O766" s="9"/>
      <c r="P766" s="9"/>
      <c r="Q766" s="9"/>
      <c r="R766" s="9"/>
      <c r="S766" s="9"/>
      <c r="T766" s="9"/>
      <c r="U766" s="9"/>
      <c r="V766" s="9"/>
      <c r="W766" s="9"/>
      <c r="X766" s="9"/>
      <c r="Y766" s="9"/>
      <c r="Z766" s="9"/>
      <c r="AA766" s="9"/>
      <c r="AB766" s="9"/>
      <c r="AC766" s="9"/>
      <c r="AD766" s="9"/>
    </row>
    <row r="767" spans="1:30" ht="14.25" customHeight="1">
      <c r="A767" s="11"/>
      <c r="B767" s="12"/>
      <c r="C767" s="12"/>
      <c r="D767" s="12"/>
      <c r="E767" s="12"/>
      <c r="F767" s="12"/>
      <c r="G767" s="12"/>
      <c r="H767" s="12"/>
      <c r="I767" s="12"/>
      <c r="J767" s="12"/>
      <c r="K767" s="13"/>
      <c r="L767" s="9"/>
      <c r="M767" s="9"/>
      <c r="N767" s="9"/>
      <c r="O767" s="9"/>
      <c r="P767" s="9"/>
      <c r="Q767" s="9"/>
      <c r="R767" s="9"/>
      <c r="S767" s="9"/>
      <c r="T767" s="9"/>
      <c r="U767" s="9"/>
      <c r="V767" s="9"/>
      <c r="W767" s="9"/>
      <c r="X767" s="9"/>
      <c r="Y767" s="9"/>
      <c r="Z767" s="9"/>
      <c r="AA767" s="9"/>
      <c r="AB767" s="9"/>
      <c r="AC767" s="9"/>
      <c r="AD767" s="9"/>
    </row>
    <row r="768" spans="1:30" ht="14.25" customHeight="1">
      <c r="A768" s="11"/>
      <c r="B768" s="12"/>
      <c r="C768" s="12"/>
      <c r="D768" s="12"/>
      <c r="E768" s="12"/>
      <c r="F768" s="12"/>
      <c r="G768" s="12"/>
      <c r="H768" s="12"/>
      <c r="I768" s="12"/>
      <c r="J768" s="12"/>
      <c r="K768" s="13"/>
      <c r="L768" s="9"/>
      <c r="M768" s="9"/>
      <c r="N768" s="9"/>
      <c r="O768" s="9"/>
      <c r="P768" s="9"/>
      <c r="Q768" s="9"/>
      <c r="R768" s="9"/>
      <c r="S768" s="9"/>
      <c r="T768" s="9"/>
      <c r="U768" s="9"/>
      <c r="V768" s="9"/>
      <c r="W768" s="9"/>
      <c r="X768" s="9"/>
      <c r="Y768" s="9"/>
      <c r="Z768" s="9"/>
      <c r="AA768" s="9"/>
      <c r="AB768" s="9"/>
      <c r="AC768" s="9"/>
      <c r="AD768" s="9"/>
    </row>
    <row r="769" spans="1:30" ht="14.25" customHeight="1">
      <c r="A769" s="11"/>
      <c r="B769" s="12"/>
      <c r="C769" s="12"/>
      <c r="D769" s="12"/>
      <c r="E769" s="12"/>
      <c r="F769" s="12"/>
      <c r="G769" s="12"/>
      <c r="H769" s="12"/>
      <c r="I769" s="12"/>
      <c r="J769" s="12"/>
      <c r="K769" s="13"/>
      <c r="L769" s="9"/>
      <c r="M769" s="9"/>
      <c r="N769" s="9"/>
      <c r="O769" s="9"/>
      <c r="P769" s="9"/>
      <c r="Q769" s="9"/>
      <c r="R769" s="9"/>
      <c r="S769" s="9"/>
      <c r="T769" s="9"/>
      <c r="U769" s="9"/>
      <c r="V769" s="9"/>
      <c r="W769" s="9"/>
      <c r="X769" s="9"/>
      <c r="Y769" s="9"/>
      <c r="Z769" s="9"/>
      <c r="AA769" s="9"/>
      <c r="AB769" s="9"/>
      <c r="AC769" s="9"/>
      <c r="AD769" s="9"/>
    </row>
    <row r="770" spans="1:30" ht="14.25" customHeight="1">
      <c r="A770" s="11"/>
      <c r="B770" s="12"/>
      <c r="C770" s="12"/>
      <c r="D770" s="12"/>
      <c r="E770" s="12"/>
      <c r="F770" s="12"/>
      <c r="G770" s="12"/>
      <c r="H770" s="12"/>
      <c r="I770" s="12"/>
      <c r="J770" s="12"/>
      <c r="K770" s="13"/>
      <c r="L770" s="9"/>
      <c r="M770" s="9"/>
      <c r="N770" s="9"/>
      <c r="O770" s="9"/>
      <c r="P770" s="9"/>
      <c r="Q770" s="9"/>
      <c r="R770" s="9"/>
      <c r="S770" s="9"/>
      <c r="T770" s="9"/>
      <c r="U770" s="9"/>
      <c r="V770" s="9"/>
      <c r="W770" s="9"/>
      <c r="X770" s="9"/>
      <c r="Y770" s="9"/>
      <c r="Z770" s="9"/>
      <c r="AA770" s="9"/>
      <c r="AB770" s="9"/>
      <c r="AC770" s="9"/>
      <c r="AD770" s="9"/>
    </row>
    <row r="771" spans="1:30" ht="14.25" customHeight="1">
      <c r="A771" s="11"/>
      <c r="B771" s="12"/>
      <c r="C771" s="12"/>
      <c r="D771" s="12"/>
      <c r="E771" s="12"/>
      <c r="F771" s="12"/>
      <c r="G771" s="12"/>
      <c r="H771" s="12"/>
      <c r="I771" s="12"/>
      <c r="J771" s="12"/>
      <c r="K771" s="13"/>
      <c r="L771" s="9"/>
      <c r="M771" s="9"/>
      <c r="N771" s="9"/>
      <c r="O771" s="9"/>
      <c r="P771" s="9"/>
      <c r="Q771" s="9"/>
      <c r="R771" s="9"/>
      <c r="S771" s="9"/>
      <c r="T771" s="9"/>
      <c r="U771" s="9"/>
      <c r="V771" s="9"/>
      <c r="W771" s="9"/>
      <c r="X771" s="9"/>
      <c r="Y771" s="9"/>
      <c r="Z771" s="9"/>
      <c r="AA771" s="9"/>
      <c r="AB771" s="9"/>
      <c r="AC771" s="9"/>
      <c r="AD771" s="9"/>
    </row>
    <row r="772" spans="1:30" ht="14.25" customHeight="1">
      <c r="A772" s="11"/>
      <c r="B772" s="12"/>
      <c r="C772" s="12"/>
      <c r="D772" s="12"/>
      <c r="E772" s="12"/>
      <c r="F772" s="12"/>
      <c r="G772" s="12"/>
      <c r="H772" s="12"/>
      <c r="I772" s="12"/>
      <c r="J772" s="12"/>
      <c r="K772" s="13"/>
      <c r="L772" s="9"/>
      <c r="M772" s="9"/>
      <c r="N772" s="9"/>
      <c r="O772" s="9"/>
      <c r="P772" s="9"/>
      <c r="Q772" s="9"/>
      <c r="R772" s="9"/>
      <c r="S772" s="9"/>
      <c r="T772" s="9"/>
      <c r="U772" s="9"/>
      <c r="V772" s="9"/>
      <c r="W772" s="9"/>
      <c r="X772" s="9"/>
      <c r="Y772" s="9"/>
      <c r="Z772" s="9"/>
      <c r="AA772" s="9"/>
      <c r="AB772" s="9"/>
      <c r="AC772" s="9"/>
      <c r="AD772" s="9"/>
    </row>
    <row r="773" spans="1:30" ht="14.25" customHeight="1">
      <c r="A773" s="11"/>
      <c r="B773" s="12"/>
      <c r="C773" s="12"/>
      <c r="D773" s="12"/>
      <c r="E773" s="12"/>
      <c r="F773" s="12"/>
      <c r="G773" s="12"/>
      <c r="H773" s="12"/>
      <c r="I773" s="12"/>
      <c r="J773" s="12"/>
      <c r="K773" s="13"/>
      <c r="L773" s="9"/>
      <c r="M773" s="9"/>
      <c r="N773" s="9"/>
      <c r="O773" s="9"/>
      <c r="P773" s="9"/>
      <c r="Q773" s="9"/>
      <c r="R773" s="9"/>
      <c r="S773" s="9"/>
      <c r="T773" s="9"/>
      <c r="U773" s="9"/>
      <c r="V773" s="9"/>
      <c r="W773" s="9"/>
      <c r="X773" s="9"/>
      <c r="Y773" s="9"/>
      <c r="Z773" s="9"/>
      <c r="AA773" s="9"/>
      <c r="AB773" s="9"/>
      <c r="AC773" s="9"/>
      <c r="AD773" s="9"/>
    </row>
    <row r="774" spans="1:30" ht="14.25" customHeight="1">
      <c r="A774" s="11"/>
      <c r="B774" s="12"/>
      <c r="C774" s="12"/>
      <c r="D774" s="12"/>
      <c r="E774" s="12"/>
      <c r="F774" s="12"/>
      <c r="G774" s="12"/>
      <c r="H774" s="12"/>
      <c r="I774" s="12"/>
      <c r="J774" s="12"/>
      <c r="K774" s="13"/>
      <c r="L774" s="9"/>
      <c r="M774" s="9"/>
      <c r="N774" s="9"/>
      <c r="O774" s="9"/>
      <c r="P774" s="9"/>
      <c r="Q774" s="9"/>
      <c r="R774" s="9"/>
      <c r="S774" s="9"/>
      <c r="T774" s="9"/>
      <c r="U774" s="9"/>
      <c r="V774" s="9"/>
      <c r="W774" s="9"/>
      <c r="X774" s="9"/>
      <c r="Y774" s="9"/>
      <c r="Z774" s="9"/>
      <c r="AA774" s="9"/>
      <c r="AB774" s="9"/>
      <c r="AC774" s="9"/>
      <c r="AD774" s="9"/>
    </row>
    <row r="775" spans="1:30" ht="14.25" customHeight="1">
      <c r="A775" s="11"/>
      <c r="B775" s="12"/>
      <c r="C775" s="12"/>
      <c r="D775" s="12"/>
      <c r="E775" s="12"/>
      <c r="F775" s="12"/>
      <c r="G775" s="12"/>
      <c r="H775" s="12"/>
      <c r="I775" s="12"/>
      <c r="J775" s="12"/>
      <c r="K775" s="13"/>
      <c r="L775" s="9"/>
      <c r="M775" s="9"/>
      <c r="N775" s="9"/>
      <c r="O775" s="9"/>
      <c r="P775" s="9"/>
      <c r="Q775" s="9"/>
      <c r="R775" s="9"/>
      <c r="S775" s="9"/>
      <c r="T775" s="9"/>
      <c r="U775" s="9"/>
      <c r="V775" s="9"/>
      <c r="W775" s="9"/>
      <c r="X775" s="9"/>
      <c r="Y775" s="9"/>
      <c r="Z775" s="9"/>
      <c r="AA775" s="9"/>
      <c r="AB775" s="9"/>
      <c r="AC775" s="9"/>
      <c r="AD775" s="9"/>
    </row>
    <row r="776" spans="1:30" ht="14.25" customHeight="1">
      <c r="A776" s="11"/>
      <c r="B776" s="12"/>
      <c r="C776" s="12"/>
      <c r="D776" s="12"/>
      <c r="E776" s="12"/>
      <c r="F776" s="12"/>
      <c r="G776" s="12"/>
      <c r="H776" s="12"/>
      <c r="I776" s="12"/>
      <c r="J776" s="12"/>
      <c r="K776" s="13"/>
      <c r="L776" s="9"/>
      <c r="M776" s="9"/>
      <c r="N776" s="9"/>
      <c r="O776" s="9"/>
      <c r="P776" s="9"/>
      <c r="Q776" s="9"/>
      <c r="R776" s="9"/>
      <c r="S776" s="9"/>
      <c r="T776" s="9"/>
      <c r="U776" s="9"/>
      <c r="V776" s="9"/>
      <c r="W776" s="9"/>
      <c r="X776" s="9"/>
      <c r="Y776" s="9"/>
      <c r="Z776" s="9"/>
      <c r="AA776" s="9"/>
      <c r="AB776" s="9"/>
      <c r="AC776" s="9"/>
      <c r="AD776" s="9"/>
    </row>
    <row r="777" spans="1:30" ht="14.25" customHeight="1">
      <c r="A777" s="11"/>
      <c r="B777" s="12"/>
      <c r="C777" s="12"/>
      <c r="D777" s="12"/>
      <c r="E777" s="12"/>
      <c r="F777" s="12"/>
      <c r="G777" s="12"/>
      <c r="H777" s="12"/>
      <c r="I777" s="12"/>
      <c r="J777" s="12"/>
      <c r="K777" s="13"/>
      <c r="L777" s="9"/>
      <c r="M777" s="9"/>
      <c r="N777" s="9"/>
      <c r="O777" s="9"/>
      <c r="P777" s="9"/>
      <c r="Q777" s="9"/>
      <c r="R777" s="9"/>
      <c r="S777" s="9"/>
      <c r="T777" s="9"/>
      <c r="U777" s="9"/>
      <c r="V777" s="9"/>
      <c r="W777" s="9"/>
      <c r="X777" s="9"/>
      <c r="Y777" s="9"/>
      <c r="Z777" s="9"/>
      <c r="AA777" s="9"/>
      <c r="AB777" s="9"/>
      <c r="AC777" s="9"/>
      <c r="AD777" s="9"/>
    </row>
    <row r="778" spans="1:30" ht="14.25" customHeight="1">
      <c r="A778" s="11"/>
      <c r="B778" s="12"/>
      <c r="C778" s="12"/>
      <c r="D778" s="12"/>
      <c r="E778" s="12"/>
      <c r="F778" s="12"/>
      <c r="G778" s="12"/>
      <c r="H778" s="12"/>
      <c r="I778" s="12"/>
      <c r="J778" s="12"/>
      <c r="K778" s="13"/>
      <c r="L778" s="9"/>
      <c r="M778" s="9"/>
      <c r="N778" s="9"/>
      <c r="O778" s="9"/>
      <c r="P778" s="9"/>
      <c r="Q778" s="9"/>
      <c r="R778" s="9"/>
      <c r="S778" s="9"/>
      <c r="T778" s="9"/>
      <c r="U778" s="9"/>
      <c r="V778" s="9"/>
      <c r="W778" s="9"/>
      <c r="X778" s="9"/>
      <c r="Y778" s="9"/>
      <c r="Z778" s="9"/>
      <c r="AA778" s="9"/>
      <c r="AB778" s="9"/>
      <c r="AC778" s="9"/>
      <c r="AD778" s="9"/>
    </row>
    <row r="779" spans="1:30" ht="14.25" customHeight="1">
      <c r="A779" s="11"/>
      <c r="B779" s="12"/>
      <c r="C779" s="12"/>
      <c r="D779" s="12"/>
      <c r="E779" s="12"/>
      <c r="F779" s="12"/>
      <c r="G779" s="12"/>
      <c r="H779" s="12"/>
      <c r="I779" s="12"/>
      <c r="J779" s="12"/>
      <c r="K779" s="13"/>
      <c r="L779" s="9"/>
      <c r="M779" s="9"/>
      <c r="N779" s="9"/>
      <c r="O779" s="9"/>
      <c r="P779" s="9"/>
      <c r="Q779" s="9"/>
      <c r="R779" s="9"/>
      <c r="S779" s="9"/>
      <c r="T779" s="9"/>
      <c r="U779" s="9"/>
      <c r="V779" s="9"/>
      <c r="W779" s="9"/>
      <c r="X779" s="9"/>
      <c r="Y779" s="9"/>
      <c r="Z779" s="9"/>
      <c r="AA779" s="9"/>
      <c r="AB779" s="9"/>
      <c r="AC779" s="9"/>
      <c r="AD779" s="9"/>
    </row>
    <row r="780" spans="1:30" ht="14.25" customHeight="1">
      <c r="A780" s="11"/>
      <c r="B780" s="12"/>
      <c r="C780" s="12"/>
      <c r="D780" s="12"/>
      <c r="E780" s="12"/>
      <c r="F780" s="12"/>
      <c r="G780" s="12"/>
      <c r="H780" s="12"/>
      <c r="I780" s="12"/>
      <c r="J780" s="12"/>
      <c r="K780" s="13"/>
      <c r="L780" s="9"/>
      <c r="M780" s="9"/>
      <c r="N780" s="9"/>
      <c r="O780" s="9"/>
      <c r="P780" s="9"/>
      <c r="Q780" s="9"/>
      <c r="R780" s="9"/>
      <c r="S780" s="9"/>
      <c r="T780" s="9"/>
      <c r="U780" s="9"/>
      <c r="V780" s="9"/>
      <c r="W780" s="9"/>
      <c r="X780" s="9"/>
      <c r="Y780" s="9"/>
      <c r="Z780" s="9"/>
      <c r="AA780" s="9"/>
      <c r="AB780" s="9"/>
      <c r="AC780" s="9"/>
      <c r="AD780" s="9"/>
    </row>
    <row r="781" spans="1:30" ht="14.25" customHeight="1">
      <c r="A781" s="11"/>
      <c r="B781" s="12"/>
      <c r="C781" s="12"/>
      <c r="D781" s="12"/>
      <c r="E781" s="12"/>
      <c r="F781" s="12"/>
      <c r="G781" s="12"/>
      <c r="H781" s="12"/>
      <c r="I781" s="12"/>
      <c r="J781" s="12"/>
      <c r="K781" s="13"/>
      <c r="L781" s="9"/>
      <c r="M781" s="9"/>
      <c r="N781" s="9"/>
      <c r="O781" s="9"/>
      <c r="P781" s="9"/>
      <c r="Q781" s="9"/>
      <c r="R781" s="9"/>
      <c r="S781" s="9"/>
      <c r="T781" s="9"/>
      <c r="U781" s="9"/>
      <c r="V781" s="9"/>
      <c r="W781" s="9"/>
      <c r="X781" s="9"/>
      <c r="Y781" s="9"/>
      <c r="Z781" s="9"/>
      <c r="AA781" s="9"/>
      <c r="AB781" s="9"/>
      <c r="AC781" s="9"/>
      <c r="AD781" s="9"/>
    </row>
    <row r="782" spans="1:30" ht="14.25" customHeight="1">
      <c r="A782" s="11"/>
      <c r="B782" s="12"/>
      <c r="C782" s="12"/>
      <c r="D782" s="12"/>
      <c r="E782" s="12"/>
      <c r="F782" s="12"/>
      <c r="G782" s="12"/>
      <c r="H782" s="12"/>
      <c r="I782" s="12"/>
      <c r="J782" s="12"/>
      <c r="K782" s="13"/>
      <c r="L782" s="9"/>
      <c r="M782" s="9"/>
      <c r="N782" s="9"/>
      <c r="O782" s="9"/>
      <c r="P782" s="9"/>
      <c r="Q782" s="9"/>
      <c r="R782" s="9"/>
      <c r="S782" s="9"/>
      <c r="T782" s="9"/>
      <c r="U782" s="9"/>
      <c r="V782" s="9"/>
      <c r="W782" s="9"/>
      <c r="X782" s="9"/>
      <c r="Y782" s="9"/>
      <c r="Z782" s="9"/>
      <c r="AA782" s="9"/>
      <c r="AB782" s="9"/>
      <c r="AC782" s="9"/>
      <c r="AD782" s="9"/>
    </row>
    <row r="783" spans="1:30" ht="14.25" customHeight="1">
      <c r="A783" s="11"/>
      <c r="B783" s="12"/>
      <c r="C783" s="12"/>
      <c r="D783" s="12"/>
      <c r="E783" s="12"/>
      <c r="F783" s="12"/>
      <c r="G783" s="12"/>
      <c r="H783" s="12"/>
      <c r="I783" s="12"/>
      <c r="J783" s="12"/>
      <c r="K783" s="13"/>
      <c r="L783" s="9"/>
      <c r="M783" s="9"/>
      <c r="N783" s="9"/>
      <c r="O783" s="9"/>
      <c r="P783" s="9"/>
      <c r="Q783" s="9"/>
      <c r="R783" s="9"/>
      <c r="S783" s="9"/>
      <c r="T783" s="9"/>
      <c r="U783" s="9"/>
      <c r="V783" s="9"/>
      <c r="W783" s="9"/>
      <c r="X783" s="9"/>
      <c r="Y783" s="9"/>
      <c r="Z783" s="9"/>
      <c r="AA783" s="9"/>
      <c r="AB783" s="9"/>
      <c r="AC783" s="9"/>
      <c r="AD783" s="9"/>
    </row>
    <row r="784" spans="1:30" ht="14.25" customHeight="1">
      <c r="A784" s="11"/>
      <c r="B784" s="12"/>
      <c r="C784" s="12"/>
      <c r="D784" s="12"/>
      <c r="E784" s="12"/>
      <c r="F784" s="12"/>
      <c r="G784" s="12"/>
      <c r="H784" s="12"/>
      <c r="I784" s="12"/>
      <c r="J784" s="12"/>
      <c r="K784" s="13"/>
      <c r="L784" s="9"/>
      <c r="M784" s="9"/>
      <c r="N784" s="9"/>
      <c r="O784" s="9"/>
      <c r="P784" s="9"/>
      <c r="Q784" s="9"/>
      <c r="R784" s="9"/>
      <c r="S784" s="9"/>
      <c r="T784" s="9"/>
      <c r="U784" s="9"/>
      <c r="V784" s="9"/>
      <c r="W784" s="9"/>
      <c r="X784" s="9"/>
      <c r="Y784" s="9"/>
      <c r="Z784" s="9"/>
      <c r="AA784" s="9"/>
      <c r="AB784" s="9"/>
      <c r="AC784" s="9"/>
      <c r="AD784" s="9"/>
    </row>
    <row r="785" spans="1:30" ht="14.25" customHeight="1">
      <c r="A785" s="11"/>
      <c r="B785" s="12"/>
      <c r="C785" s="12"/>
      <c r="D785" s="12"/>
      <c r="E785" s="12"/>
      <c r="F785" s="12"/>
      <c r="G785" s="12"/>
      <c r="H785" s="12"/>
      <c r="I785" s="12"/>
      <c r="J785" s="12"/>
      <c r="K785" s="13"/>
      <c r="L785" s="9"/>
      <c r="M785" s="9"/>
      <c r="N785" s="9"/>
      <c r="O785" s="9"/>
      <c r="P785" s="9"/>
      <c r="Q785" s="9"/>
      <c r="R785" s="9"/>
      <c r="S785" s="9"/>
      <c r="T785" s="9"/>
      <c r="U785" s="9"/>
      <c r="V785" s="9"/>
      <c r="W785" s="9"/>
      <c r="X785" s="9"/>
      <c r="Y785" s="9"/>
      <c r="Z785" s="9"/>
      <c r="AA785" s="9"/>
      <c r="AB785" s="9"/>
      <c r="AC785" s="9"/>
      <c r="AD785" s="9"/>
    </row>
    <row r="786" spans="1:30" ht="14.25" customHeight="1">
      <c r="A786" s="11"/>
      <c r="B786" s="12"/>
      <c r="C786" s="12"/>
      <c r="D786" s="12"/>
      <c r="E786" s="12"/>
      <c r="F786" s="12"/>
      <c r="G786" s="12"/>
      <c r="H786" s="12"/>
      <c r="I786" s="12"/>
      <c r="J786" s="12"/>
      <c r="K786" s="13"/>
      <c r="L786" s="9"/>
      <c r="M786" s="9"/>
      <c r="N786" s="9"/>
      <c r="O786" s="9"/>
      <c r="P786" s="9"/>
      <c r="Q786" s="9"/>
      <c r="R786" s="9"/>
      <c r="S786" s="9"/>
      <c r="T786" s="9"/>
      <c r="U786" s="9"/>
      <c r="V786" s="9"/>
      <c r="W786" s="9"/>
      <c r="X786" s="9"/>
      <c r="Y786" s="9"/>
      <c r="Z786" s="9"/>
      <c r="AA786" s="9"/>
      <c r="AB786" s="9"/>
      <c r="AC786" s="9"/>
      <c r="AD786" s="9"/>
    </row>
    <row r="787" spans="1:30" ht="14.25" customHeight="1">
      <c r="A787" s="11"/>
      <c r="B787" s="12"/>
      <c r="C787" s="12"/>
      <c r="D787" s="12"/>
      <c r="E787" s="12"/>
      <c r="F787" s="12"/>
      <c r="G787" s="12"/>
      <c r="H787" s="12"/>
      <c r="I787" s="12"/>
      <c r="J787" s="12"/>
      <c r="K787" s="13"/>
      <c r="L787" s="9"/>
      <c r="M787" s="9"/>
      <c r="N787" s="9"/>
      <c r="O787" s="9"/>
      <c r="P787" s="9"/>
      <c r="Q787" s="9"/>
      <c r="R787" s="9"/>
      <c r="S787" s="9"/>
      <c r="T787" s="9"/>
      <c r="U787" s="9"/>
      <c r="V787" s="9"/>
      <c r="W787" s="9"/>
      <c r="X787" s="9"/>
      <c r="Y787" s="9"/>
      <c r="Z787" s="9"/>
      <c r="AA787" s="9"/>
      <c r="AB787" s="9"/>
      <c r="AC787" s="9"/>
      <c r="AD787" s="9"/>
    </row>
    <row r="788" spans="1:30" ht="14.25" customHeight="1">
      <c r="A788" s="11"/>
      <c r="B788" s="12"/>
      <c r="C788" s="12"/>
      <c r="D788" s="12"/>
      <c r="E788" s="12"/>
      <c r="F788" s="12"/>
      <c r="G788" s="12"/>
      <c r="H788" s="12"/>
      <c r="I788" s="12"/>
      <c r="J788" s="12"/>
      <c r="K788" s="13"/>
      <c r="L788" s="9"/>
      <c r="M788" s="9"/>
      <c r="N788" s="9"/>
      <c r="O788" s="9"/>
      <c r="P788" s="9"/>
      <c r="Q788" s="9"/>
      <c r="R788" s="9"/>
      <c r="S788" s="9"/>
      <c r="T788" s="9"/>
      <c r="U788" s="9"/>
      <c r="V788" s="9"/>
      <c r="W788" s="9"/>
      <c r="X788" s="9"/>
      <c r="Y788" s="9"/>
      <c r="Z788" s="9"/>
      <c r="AA788" s="9"/>
      <c r="AB788" s="9"/>
      <c r="AC788" s="9"/>
      <c r="AD788" s="9"/>
    </row>
    <row r="789" spans="1:30" ht="14.25" customHeight="1">
      <c r="A789" s="11"/>
      <c r="B789" s="12"/>
      <c r="C789" s="12"/>
      <c r="D789" s="12"/>
      <c r="E789" s="12"/>
      <c r="F789" s="12"/>
      <c r="G789" s="12"/>
      <c r="H789" s="12"/>
      <c r="I789" s="12"/>
      <c r="J789" s="12"/>
      <c r="K789" s="13"/>
      <c r="L789" s="9"/>
      <c r="M789" s="9"/>
      <c r="N789" s="9"/>
      <c r="O789" s="9"/>
      <c r="P789" s="9"/>
      <c r="Q789" s="9"/>
      <c r="R789" s="9"/>
      <c r="S789" s="9"/>
      <c r="T789" s="9"/>
      <c r="U789" s="9"/>
      <c r="V789" s="9"/>
      <c r="W789" s="9"/>
      <c r="X789" s="9"/>
      <c r="Y789" s="9"/>
      <c r="Z789" s="9"/>
      <c r="AA789" s="9"/>
      <c r="AB789" s="9"/>
      <c r="AC789" s="9"/>
      <c r="AD789" s="9"/>
    </row>
    <row r="790" spans="1:30" ht="14.25" customHeight="1">
      <c r="A790" s="11"/>
      <c r="B790" s="12"/>
      <c r="C790" s="12"/>
      <c r="D790" s="12"/>
      <c r="E790" s="12"/>
      <c r="F790" s="12"/>
      <c r="G790" s="12"/>
      <c r="H790" s="12"/>
      <c r="I790" s="12"/>
      <c r="J790" s="12"/>
      <c r="K790" s="13"/>
      <c r="L790" s="9"/>
      <c r="M790" s="9"/>
      <c r="N790" s="9"/>
      <c r="O790" s="9"/>
      <c r="P790" s="9"/>
      <c r="Q790" s="9"/>
      <c r="R790" s="9"/>
      <c r="S790" s="9"/>
      <c r="T790" s="9"/>
      <c r="U790" s="9"/>
      <c r="V790" s="9"/>
      <c r="W790" s="9"/>
      <c r="X790" s="9"/>
      <c r="Y790" s="9"/>
      <c r="Z790" s="9"/>
      <c r="AA790" s="9"/>
      <c r="AB790" s="9"/>
      <c r="AC790" s="9"/>
      <c r="AD790" s="9"/>
    </row>
    <row r="791" spans="1:30" ht="14.25" customHeight="1">
      <c r="A791" s="11"/>
      <c r="B791" s="12"/>
      <c r="C791" s="12"/>
      <c r="D791" s="12"/>
      <c r="E791" s="12"/>
      <c r="F791" s="12"/>
      <c r="G791" s="12"/>
      <c r="H791" s="12"/>
      <c r="I791" s="12"/>
      <c r="J791" s="12"/>
      <c r="K791" s="13"/>
      <c r="L791" s="9"/>
      <c r="M791" s="9"/>
      <c r="N791" s="9"/>
      <c r="O791" s="9"/>
      <c r="P791" s="9"/>
      <c r="Q791" s="9"/>
      <c r="R791" s="9"/>
      <c r="S791" s="9"/>
      <c r="T791" s="9"/>
      <c r="U791" s="9"/>
      <c r="V791" s="9"/>
      <c r="W791" s="9"/>
      <c r="X791" s="9"/>
      <c r="Y791" s="9"/>
      <c r="Z791" s="9"/>
      <c r="AA791" s="9"/>
      <c r="AB791" s="9"/>
      <c r="AC791" s="9"/>
      <c r="AD791" s="9"/>
    </row>
    <row r="792" spans="1:30" ht="14.25" customHeight="1">
      <c r="A792" s="11"/>
      <c r="B792" s="12"/>
      <c r="C792" s="12"/>
      <c r="D792" s="12"/>
      <c r="E792" s="12"/>
      <c r="F792" s="12"/>
      <c r="G792" s="12"/>
      <c r="H792" s="12"/>
      <c r="I792" s="12"/>
      <c r="J792" s="12"/>
      <c r="K792" s="13"/>
      <c r="L792" s="9"/>
      <c r="M792" s="9"/>
      <c r="N792" s="9"/>
      <c r="O792" s="9"/>
      <c r="P792" s="9"/>
      <c r="Q792" s="9"/>
      <c r="R792" s="9"/>
      <c r="S792" s="9"/>
      <c r="T792" s="9"/>
      <c r="U792" s="9"/>
      <c r="V792" s="9"/>
      <c r="W792" s="9"/>
      <c r="X792" s="9"/>
      <c r="Y792" s="9"/>
      <c r="Z792" s="9"/>
      <c r="AA792" s="9"/>
      <c r="AB792" s="9"/>
      <c r="AC792" s="9"/>
      <c r="AD792" s="9"/>
    </row>
    <row r="793" spans="1:30" ht="14.25" customHeight="1">
      <c r="A793" s="11"/>
      <c r="B793" s="12"/>
      <c r="C793" s="12"/>
      <c r="D793" s="12"/>
      <c r="E793" s="12"/>
      <c r="F793" s="12"/>
      <c r="G793" s="12"/>
      <c r="H793" s="12"/>
      <c r="I793" s="12"/>
      <c r="J793" s="12"/>
      <c r="K793" s="13"/>
      <c r="L793" s="9"/>
      <c r="M793" s="9"/>
      <c r="N793" s="9"/>
      <c r="O793" s="9"/>
      <c r="P793" s="9"/>
      <c r="Q793" s="9"/>
      <c r="R793" s="9"/>
      <c r="S793" s="9"/>
      <c r="T793" s="9"/>
      <c r="U793" s="9"/>
      <c r="V793" s="9"/>
      <c r="W793" s="9"/>
      <c r="X793" s="9"/>
      <c r="Y793" s="9"/>
      <c r="Z793" s="9"/>
      <c r="AA793" s="9"/>
      <c r="AB793" s="9"/>
      <c r="AC793" s="9"/>
      <c r="AD793" s="9"/>
    </row>
    <row r="794" spans="1:30" ht="14.25" customHeight="1">
      <c r="A794" s="11"/>
      <c r="B794" s="12"/>
      <c r="C794" s="12"/>
      <c r="D794" s="12"/>
      <c r="E794" s="12"/>
      <c r="F794" s="12"/>
      <c r="G794" s="12"/>
      <c r="H794" s="12"/>
      <c r="I794" s="12"/>
      <c r="J794" s="12"/>
      <c r="K794" s="13"/>
      <c r="L794" s="9"/>
      <c r="M794" s="9"/>
      <c r="N794" s="9"/>
      <c r="O794" s="9"/>
      <c r="P794" s="9"/>
      <c r="Q794" s="9"/>
      <c r="R794" s="9"/>
      <c r="S794" s="9"/>
      <c r="T794" s="9"/>
      <c r="U794" s="9"/>
      <c r="V794" s="9"/>
      <c r="W794" s="9"/>
      <c r="X794" s="9"/>
      <c r="Y794" s="9"/>
      <c r="Z794" s="9"/>
      <c r="AA794" s="9"/>
      <c r="AB794" s="9"/>
      <c r="AC794" s="9"/>
      <c r="AD794" s="9"/>
    </row>
    <row r="795" spans="1:30" ht="14.25" customHeight="1">
      <c r="A795" s="11"/>
      <c r="B795" s="12"/>
      <c r="C795" s="12"/>
      <c r="D795" s="12"/>
      <c r="E795" s="12"/>
      <c r="F795" s="12"/>
      <c r="G795" s="12"/>
      <c r="H795" s="12"/>
      <c r="I795" s="12"/>
      <c r="J795" s="12"/>
      <c r="K795" s="13"/>
      <c r="L795" s="9"/>
      <c r="M795" s="9"/>
      <c r="N795" s="9"/>
      <c r="O795" s="9"/>
      <c r="P795" s="9"/>
      <c r="Q795" s="9"/>
      <c r="R795" s="9"/>
      <c r="S795" s="9"/>
      <c r="T795" s="9"/>
      <c r="U795" s="9"/>
      <c r="V795" s="9"/>
      <c r="W795" s="9"/>
      <c r="X795" s="9"/>
      <c r="Y795" s="9"/>
      <c r="Z795" s="9"/>
      <c r="AA795" s="9"/>
      <c r="AB795" s="9"/>
      <c r="AC795" s="9"/>
      <c r="AD795" s="9"/>
    </row>
    <row r="796" spans="1:30" ht="14.25" customHeight="1">
      <c r="A796" s="11"/>
      <c r="B796" s="12"/>
      <c r="C796" s="12"/>
      <c r="D796" s="12"/>
      <c r="E796" s="12"/>
      <c r="F796" s="12"/>
      <c r="G796" s="12"/>
      <c r="H796" s="12"/>
      <c r="I796" s="12"/>
      <c r="J796" s="12"/>
      <c r="K796" s="13"/>
      <c r="L796" s="9"/>
      <c r="M796" s="9"/>
      <c r="N796" s="9"/>
      <c r="O796" s="9"/>
      <c r="P796" s="9"/>
      <c r="Q796" s="9"/>
      <c r="R796" s="9"/>
      <c r="S796" s="9"/>
      <c r="T796" s="9"/>
      <c r="U796" s="9"/>
      <c r="V796" s="9"/>
      <c r="W796" s="9"/>
      <c r="X796" s="9"/>
      <c r="Y796" s="9"/>
      <c r="Z796" s="9"/>
      <c r="AA796" s="9"/>
      <c r="AB796" s="9"/>
      <c r="AC796" s="9"/>
      <c r="AD796" s="9"/>
    </row>
    <row r="797" spans="1:30" ht="14.25" customHeight="1">
      <c r="A797" s="11"/>
      <c r="B797" s="12"/>
      <c r="C797" s="12"/>
      <c r="D797" s="12"/>
      <c r="E797" s="12"/>
      <c r="F797" s="12"/>
      <c r="G797" s="12"/>
      <c r="H797" s="12"/>
      <c r="I797" s="12"/>
      <c r="J797" s="12"/>
      <c r="K797" s="13"/>
      <c r="L797" s="9"/>
      <c r="M797" s="9"/>
      <c r="N797" s="9"/>
      <c r="O797" s="9"/>
      <c r="P797" s="9"/>
      <c r="Q797" s="9"/>
      <c r="R797" s="9"/>
      <c r="S797" s="9"/>
      <c r="T797" s="9"/>
      <c r="U797" s="9"/>
      <c r="V797" s="9"/>
      <c r="W797" s="9"/>
      <c r="X797" s="9"/>
      <c r="Y797" s="9"/>
      <c r="Z797" s="9"/>
      <c r="AA797" s="9"/>
      <c r="AB797" s="9"/>
      <c r="AC797" s="9"/>
      <c r="AD797" s="9"/>
    </row>
    <row r="798" spans="1:30" ht="14.25" customHeight="1">
      <c r="A798" s="11"/>
      <c r="B798" s="12"/>
      <c r="C798" s="12"/>
      <c r="D798" s="12"/>
      <c r="E798" s="12"/>
      <c r="F798" s="12"/>
      <c r="G798" s="12"/>
      <c r="H798" s="12"/>
      <c r="I798" s="12"/>
      <c r="J798" s="12"/>
      <c r="K798" s="13"/>
      <c r="L798" s="9"/>
      <c r="M798" s="9"/>
      <c r="N798" s="9"/>
      <c r="O798" s="9"/>
      <c r="P798" s="9"/>
      <c r="Q798" s="9"/>
      <c r="R798" s="9"/>
      <c r="S798" s="9"/>
      <c r="T798" s="9"/>
      <c r="U798" s="9"/>
      <c r="V798" s="9"/>
      <c r="W798" s="9"/>
      <c r="X798" s="9"/>
      <c r="Y798" s="9"/>
      <c r="Z798" s="9"/>
      <c r="AA798" s="9"/>
      <c r="AB798" s="9"/>
      <c r="AC798" s="9"/>
      <c r="AD798" s="9"/>
    </row>
    <row r="799" spans="1:30" ht="14.25" customHeight="1">
      <c r="A799" s="11"/>
      <c r="B799" s="12"/>
      <c r="C799" s="12"/>
      <c r="D799" s="12"/>
      <c r="E799" s="12"/>
      <c r="F799" s="12"/>
      <c r="G799" s="12"/>
      <c r="H799" s="12"/>
      <c r="I799" s="12"/>
      <c r="J799" s="12"/>
      <c r="K799" s="13"/>
      <c r="L799" s="9"/>
      <c r="M799" s="9"/>
      <c r="N799" s="9"/>
      <c r="O799" s="9"/>
      <c r="P799" s="9"/>
      <c r="Q799" s="9"/>
      <c r="R799" s="9"/>
      <c r="S799" s="9"/>
      <c r="T799" s="9"/>
      <c r="U799" s="9"/>
      <c r="V799" s="9"/>
      <c r="W799" s="9"/>
      <c r="X799" s="9"/>
      <c r="Y799" s="9"/>
      <c r="Z799" s="9"/>
      <c r="AA799" s="9"/>
      <c r="AB799" s="9"/>
      <c r="AC799" s="9"/>
      <c r="AD799" s="9"/>
    </row>
    <row r="800" spans="1:30" ht="14.25" customHeight="1">
      <c r="A800" s="11"/>
      <c r="B800" s="12"/>
      <c r="C800" s="12"/>
      <c r="D800" s="12"/>
      <c r="E800" s="12"/>
      <c r="F800" s="12"/>
      <c r="G800" s="12"/>
      <c r="H800" s="12"/>
      <c r="I800" s="12"/>
      <c r="J800" s="12"/>
      <c r="K800" s="13"/>
      <c r="L800" s="9"/>
      <c r="M800" s="9"/>
      <c r="N800" s="9"/>
      <c r="O800" s="9"/>
      <c r="P800" s="9"/>
      <c r="Q800" s="9"/>
      <c r="R800" s="9"/>
      <c r="S800" s="9"/>
      <c r="T800" s="9"/>
      <c r="U800" s="9"/>
      <c r="V800" s="9"/>
      <c r="W800" s="9"/>
      <c r="X800" s="9"/>
      <c r="Y800" s="9"/>
      <c r="Z800" s="9"/>
      <c r="AA800" s="9"/>
      <c r="AB800" s="9"/>
      <c r="AC800" s="9"/>
      <c r="AD800" s="9"/>
    </row>
    <row r="801" spans="1:30" ht="14.25" customHeight="1">
      <c r="A801" s="11"/>
      <c r="B801" s="12"/>
      <c r="C801" s="12"/>
      <c r="D801" s="12"/>
      <c r="E801" s="12"/>
      <c r="F801" s="12"/>
      <c r="G801" s="12"/>
      <c r="H801" s="12"/>
      <c r="I801" s="12"/>
      <c r="J801" s="12"/>
      <c r="K801" s="13"/>
      <c r="L801" s="9"/>
      <c r="M801" s="9"/>
      <c r="N801" s="9"/>
      <c r="O801" s="9"/>
      <c r="P801" s="9"/>
      <c r="Q801" s="9"/>
      <c r="R801" s="9"/>
      <c r="S801" s="9"/>
      <c r="T801" s="9"/>
      <c r="U801" s="9"/>
      <c r="V801" s="9"/>
      <c r="W801" s="9"/>
      <c r="X801" s="9"/>
      <c r="Y801" s="9"/>
      <c r="Z801" s="9"/>
      <c r="AA801" s="9"/>
      <c r="AB801" s="9"/>
      <c r="AC801" s="9"/>
      <c r="AD801" s="9"/>
    </row>
    <row r="802" spans="1:30" ht="14.25" customHeight="1">
      <c r="A802" s="11"/>
      <c r="B802" s="12"/>
      <c r="C802" s="12"/>
      <c r="D802" s="12"/>
      <c r="E802" s="12"/>
      <c r="F802" s="12"/>
      <c r="G802" s="12"/>
      <c r="H802" s="12"/>
      <c r="I802" s="12"/>
      <c r="J802" s="12"/>
      <c r="K802" s="13"/>
      <c r="L802" s="9"/>
      <c r="M802" s="9"/>
      <c r="N802" s="9"/>
      <c r="O802" s="9"/>
      <c r="P802" s="9"/>
      <c r="Q802" s="9"/>
      <c r="R802" s="9"/>
      <c r="S802" s="9"/>
      <c r="T802" s="9"/>
      <c r="U802" s="9"/>
      <c r="V802" s="9"/>
      <c r="W802" s="9"/>
      <c r="X802" s="9"/>
      <c r="Y802" s="9"/>
      <c r="Z802" s="9"/>
      <c r="AA802" s="9"/>
      <c r="AB802" s="9"/>
      <c r="AC802" s="9"/>
      <c r="AD802" s="9"/>
    </row>
    <row r="803" spans="1:30" ht="14.25" customHeight="1">
      <c r="A803" s="11"/>
      <c r="B803" s="12"/>
      <c r="C803" s="12"/>
      <c r="D803" s="12"/>
      <c r="E803" s="12"/>
      <c r="F803" s="12"/>
      <c r="G803" s="12"/>
      <c r="H803" s="12"/>
      <c r="I803" s="12"/>
      <c r="J803" s="12"/>
      <c r="K803" s="13"/>
      <c r="L803" s="9"/>
      <c r="M803" s="9"/>
      <c r="N803" s="9"/>
      <c r="O803" s="9"/>
      <c r="P803" s="9"/>
      <c r="Q803" s="9"/>
      <c r="R803" s="9"/>
      <c r="S803" s="9"/>
      <c r="T803" s="9"/>
      <c r="U803" s="9"/>
      <c r="V803" s="9"/>
      <c r="W803" s="9"/>
      <c r="X803" s="9"/>
      <c r="Y803" s="9"/>
      <c r="Z803" s="9"/>
      <c r="AA803" s="9"/>
      <c r="AB803" s="9"/>
      <c r="AC803" s="9"/>
      <c r="AD803" s="9"/>
    </row>
    <row r="804" spans="1:30" ht="14.25" customHeight="1">
      <c r="A804" s="11"/>
      <c r="B804" s="12"/>
      <c r="C804" s="12"/>
      <c r="D804" s="12"/>
      <c r="E804" s="12"/>
      <c r="F804" s="12"/>
      <c r="G804" s="12"/>
      <c r="H804" s="12"/>
      <c r="I804" s="12"/>
      <c r="J804" s="12"/>
      <c r="K804" s="13"/>
      <c r="L804" s="9"/>
      <c r="M804" s="9"/>
      <c r="N804" s="9"/>
      <c r="O804" s="9"/>
      <c r="P804" s="9"/>
      <c r="Q804" s="9"/>
      <c r="R804" s="9"/>
      <c r="S804" s="9"/>
      <c r="T804" s="9"/>
      <c r="U804" s="9"/>
      <c r="V804" s="9"/>
      <c r="W804" s="9"/>
      <c r="X804" s="9"/>
      <c r="Y804" s="9"/>
      <c r="Z804" s="9"/>
      <c r="AA804" s="9"/>
      <c r="AB804" s="9"/>
      <c r="AC804" s="9"/>
      <c r="AD804" s="9"/>
    </row>
    <row r="805" spans="1:30" ht="14.25" customHeight="1">
      <c r="A805" s="11"/>
      <c r="B805" s="12"/>
      <c r="C805" s="12"/>
      <c r="D805" s="12"/>
      <c r="E805" s="12"/>
      <c r="F805" s="12"/>
      <c r="G805" s="12"/>
      <c r="H805" s="12"/>
      <c r="I805" s="12"/>
      <c r="J805" s="12"/>
      <c r="K805" s="13"/>
      <c r="L805" s="9"/>
      <c r="M805" s="9"/>
      <c r="N805" s="9"/>
      <c r="O805" s="9"/>
      <c r="P805" s="9"/>
      <c r="Q805" s="9"/>
      <c r="R805" s="9"/>
      <c r="S805" s="9"/>
      <c r="T805" s="9"/>
      <c r="U805" s="9"/>
      <c r="V805" s="9"/>
      <c r="W805" s="9"/>
      <c r="X805" s="9"/>
      <c r="Y805" s="9"/>
      <c r="Z805" s="9"/>
      <c r="AA805" s="9"/>
      <c r="AB805" s="9"/>
      <c r="AC805" s="9"/>
      <c r="AD805" s="9"/>
    </row>
    <row r="806" spans="1:30" ht="14.25" customHeight="1">
      <c r="A806" s="11"/>
      <c r="B806" s="12"/>
      <c r="C806" s="12"/>
      <c r="D806" s="12"/>
      <c r="E806" s="12"/>
      <c r="F806" s="12"/>
      <c r="G806" s="12"/>
      <c r="H806" s="12"/>
      <c r="I806" s="12"/>
      <c r="J806" s="12"/>
      <c r="K806" s="13"/>
      <c r="L806" s="9"/>
      <c r="M806" s="9"/>
      <c r="N806" s="9"/>
      <c r="O806" s="9"/>
      <c r="P806" s="9"/>
      <c r="Q806" s="9"/>
      <c r="R806" s="9"/>
      <c r="S806" s="9"/>
      <c r="T806" s="9"/>
      <c r="U806" s="9"/>
      <c r="V806" s="9"/>
      <c r="W806" s="9"/>
      <c r="X806" s="9"/>
      <c r="Y806" s="9"/>
      <c r="Z806" s="9"/>
      <c r="AA806" s="9"/>
      <c r="AB806" s="9"/>
      <c r="AC806" s="9"/>
      <c r="AD806" s="9"/>
    </row>
    <row r="807" spans="1:30" ht="14.25" customHeight="1">
      <c r="A807" s="11"/>
      <c r="B807" s="12"/>
      <c r="C807" s="12"/>
      <c r="D807" s="12"/>
      <c r="E807" s="12"/>
      <c r="F807" s="12"/>
      <c r="G807" s="12"/>
      <c r="H807" s="12"/>
      <c r="I807" s="12"/>
      <c r="J807" s="12"/>
      <c r="K807" s="13"/>
      <c r="L807" s="9"/>
      <c r="M807" s="9"/>
      <c r="N807" s="9"/>
      <c r="O807" s="9"/>
      <c r="P807" s="9"/>
      <c r="Q807" s="9"/>
      <c r="R807" s="9"/>
      <c r="S807" s="9"/>
      <c r="T807" s="9"/>
      <c r="U807" s="9"/>
      <c r="V807" s="9"/>
      <c r="W807" s="9"/>
      <c r="X807" s="9"/>
      <c r="Y807" s="9"/>
      <c r="Z807" s="9"/>
      <c r="AA807" s="9"/>
      <c r="AB807" s="9"/>
      <c r="AC807" s="9"/>
      <c r="AD807" s="9"/>
    </row>
    <row r="808" spans="1:30" ht="14.25" customHeight="1">
      <c r="A808" s="11"/>
      <c r="B808" s="12"/>
      <c r="C808" s="12"/>
      <c r="D808" s="12"/>
      <c r="E808" s="12"/>
      <c r="F808" s="12"/>
      <c r="G808" s="12"/>
      <c r="H808" s="12"/>
      <c r="I808" s="12"/>
      <c r="J808" s="12"/>
      <c r="K808" s="13"/>
      <c r="L808" s="9"/>
      <c r="M808" s="9"/>
      <c r="N808" s="9"/>
      <c r="O808" s="9"/>
      <c r="P808" s="9"/>
      <c r="Q808" s="9"/>
      <c r="R808" s="9"/>
      <c r="S808" s="9"/>
      <c r="T808" s="9"/>
      <c r="U808" s="9"/>
      <c r="V808" s="9"/>
      <c r="W808" s="9"/>
      <c r="X808" s="9"/>
      <c r="Y808" s="9"/>
      <c r="Z808" s="9"/>
      <c r="AA808" s="9"/>
      <c r="AB808" s="9"/>
      <c r="AC808" s="9"/>
      <c r="AD808" s="9"/>
    </row>
    <row r="809" spans="1:30" ht="14.25" customHeight="1">
      <c r="A809" s="11"/>
      <c r="B809" s="12"/>
      <c r="C809" s="12"/>
      <c r="D809" s="12"/>
      <c r="E809" s="12"/>
      <c r="F809" s="12"/>
      <c r="G809" s="12"/>
      <c r="H809" s="12"/>
      <c r="I809" s="12"/>
      <c r="J809" s="12"/>
      <c r="K809" s="13"/>
      <c r="L809" s="9"/>
      <c r="M809" s="9"/>
      <c r="N809" s="9"/>
      <c r="O809" s="9"/>
      <c r="P809" s="9"/>
      <c r="Q809" s="9"/>
      <c r="R809" s="9"/>
      <c r="S809" s="9"/>
      <c r="T809" s="9"/>
      <c r="U809" s="9"/>
      <c r="V809" s="9"/>
      <c r="W809" s="9"/>
      <c r="X809" s="9"/>
      <c r="Y809" s="9"/>
      <c r="Z809" s="9"/>
      <c r="AA809" s="9"/>
      <c r="AB809" s="9"/>
      <c r="AC809" s="9"/>
      <c r="AD809" s="9"/>
    </row>
    <row r="810" spans="1:30" ht="14.25" customHeight="1">
      <c r="A810" s="11"/>
      <c r="B810" s="12"/>
      <c r="C810" s="12"/>
      <c r="D810" s="12"/>
      <c r="E810" s="12"/>
      <c r="F810" s="12"/>
      <c r="G810" s="12"/>
      <c r="H810" s="12"/>
      <c r="I810" s="12"/>
      <c r="J810" s="12"/>
      <c r="K810" s="13"/>
      <c r="L810" s="9"/>
      <c r="M810" s="9"/>
      <c r="N810" s="9"/>
      <c r="O810" s="9"/>
      <c r="P810" s="9"/>
      <c r="Q810" s="9"/>
      <c r="R810" s="9"/>
      <c r="S810" s="9"/>
      <c r="T810" s="9"/>
      <c r="U810" s="9"/>
      <c r="V810" s="9"/>
      <c r="W810" s="9"/>
      <c r="X810" s="9"/>
      <c r="Y810" s="9"/>
      <c r="Z810" s="9"/>
      <c r="AA810" s="9"/>
      <c r="AB810" s="9"/>
      <c r="AC810" s="9"/>
      <c r="AD810" s="9"/>
    </row>
    <row r="811" spans="1:30" ht="14.25" customHeight="1">
      <c r="A811" s="11"/>
      <c r="B811" s="12"/>
      <c r="C811" s="12"/>
      <c r="D811" s="12"/>
      <c r="E811" s="12"/>
      <c r="F811" s="12"/>
      <c r="G811" s="12"/>
      <c r="H811" s="12"/>
      <c r="I811" s="12"/>
      <c r="J811" s="12"/>
      <c r="K811" s="13"/>
      <c r="L811" s="9"/>
      <c r="M811" s="9"/>
      <c r="N811" s="9"/>
      <c r="O811" s="9"/>
      <c r="P811" s="9"/>
      <c r="Q811" s="9"/>
      <c r="R811" s="9"/>
      <c r="S811" s="9"/>
      <c r="T811" s="9"/>
      <c r="U811" s="9"/>
      <c r="V811" s="9"/>
      <c r="W811" s="9"/>
      <c r="X811" s="9"/>
      <c r="Y811" s="9"/>
      <c r="Z811" s="9"/>
      <c r="AA811" s="9"/>
      <c r="AB811" s="9"/>
      <c r="AC811" s="9"/>
      <c r="AD811" s="9"/>
    </row>
    <row r="812" spans="1:30" ht="14.25" customHeight="1">
      <c r="A812" s="11"/>
      <c r="B812" s="12"/>
      <c r="C812" s="12"/>
      <c r="D812" s="12"/>
      <c r="E812" s="12"/>
      <c r="F812" s="12"/>
      <c r="G812" s="12"/>
      <c r="H812" s="12"/>
      <c r="I812" s="12"/>
      <c r="J812" s="12"/>
      <c r="K812" s="13"/>
      <c r="L812" s="9"/>
      <c r="M812" s="9"/>
      <c r="N812" s="9"/>
      <c r="O812" s="9"/>
      <c r="P812" s="9"/>
      <c r="Q812" s="9"/>
      <c r="R812" s="9"/>
      <c r="S812" s="9"/>
      <c r="T812" s="9"/>
      <c r="U812" s="9"/>
      <c r="V812" s="9"/>
      <c r="W812" s="9"/>
      <c r="X812" s="9"/>
      <c r="Y812" s="9"/>
      <c r="Z812" s="9"/>
      <c r="AA812" s="9"/>
      <c r="AB812" s="9"/>
      <c r="AC812" s="9"/>
      <c r="AD812" s="9"/>
    </row>
    <row r="813" spans="1:30" ht="14.25" customHeight="1">
      <c r="A813" s="11"/>
      <c r="B813" s="12"/>
      <c r="C813" s="12"/>
      <c r="D813" s="12"/>
      <c r="E813" s="12"/>
      <c r="F813" s="12"/>
      <c r="G813" s="12"/>
      <c r="H813" s="12"/>
      <c r="I813" s="12"/>
      <c r="J813" s="12"/>
      <c r="K813" s="13"/>
      <c r="L813" s="9"/>
      <c r="M813" s="9"/>
      <c r="N813" s="9"/>
      <c r="O813" s="9"/>
      <c r="P813" s="9"/>
      <c r="Q813" s="9"/>
      <c r="R813" s="9"/>
      <c r="S813" s="9"/>
      <c r="T813" s="9"/>
      <c r="U813" s="9"/>
      <c r="V813" s="9"/>
      <c r="W813" s="9"/>
      <c r="X813" s="9"/>
      <c r="Y813" s="9"/>
      <c r="Z813" s="9"/>
      <c r="AA813" s="9"/>
      <c r="AB813" s="9"/>
      <c r="AC813" s="9"/>
      <c r="AD813" s="9"/>
    </row>
    <row r="814" spans="1:30" ht="14.25" customHeight="1">
      <c r="A814" s="11"/>
      <c r="B814" s="12"/>
      <c r="C814" s="12"/>
      <c r="D814" s="12"/>
      <c r="E814" s="12"/>
      <c r="F814" s="12"/>
      <c r="G814" s="12"/>
      <c r="H814" s="12"/>
      <c r="I814" s="12"/>
      <c r="J814" s="12"/>
      <c r="K814" s="13"/>
      <c r="L814" s="9"/>
      <c r="M814" s="9"/>
      <c r="N814" s="9"/>
      <c r="O814" s="9"/>
      <c r="P814" s="9"/>
      <c r="Q814" s="9"/>
      <c r="R814" s="9"/>
      <c r="S814" s="9"/>
      <c r="T814" s="9"/>
      <c r="U814" s="9"/>
      <c r="V814" s="9"/>
      <c r="W814" s="9"/>
      <c r="X814" s="9"/>
      <c r="Y814" s="9"/>
      <c r="Z814" s="9"/>
      <c r="AA814" s="9"/>
      <c r="AB814" s="9"/>
      <c r="AC814" s="9"/>
      <c r="AD814" s="9"/>
    </row>
    <row r="815" spans="1:30" ht="14.25" customHeight="1">
      <c r="A815" s="11"/>
      <c r="B815" s="12"/>
      <c r="C815" s="12"/>
      <c r="D815" s="12"/>
      <c r="E815" s="12"/>
      <c r="F815" s="12"/>
      <c r="G815" s="12"/>
      <c r="H815" s="12"/>
      <c r="I815" s="12"/>
      <c r="J815" s="12"/>
      <c r="K815" s="13"/>
      <c r="L815" s="9"/>
      <c r="M815" s="9"/>
      <c r="N815" s="9"/>
      <c r="O815" s="9"/>
      <c r="P815" s="9"/>
      <c r="Q815" s="9"/>
      <c r="R815" s="9"/>
      <c r="S815" s="9"/>
      <c r="T815" s="9"/>
      <c r="U815" s="9"/>
      <c r="V815" s="9"/>
      <c r="W815" s="9"/>
      <c r="X815" s="9"/>
      <c r="Y815" s="9"/>
      <c r="Z815" s="9"/>
      <c r="AA815" s="9"/>
      <c r="AB815" s="9"/>
      <c r="AC815" s="9"/>
      <c r="AD815" s="9"/>
    </row>
    <row r="816" spans="1:30" ht="14.25" customHeight="1">
      <c r="A816" s="11"/>
      <c r="B816" s="12"/>
      <c r="C816" s="12"/>
      <c r="D816" s="12"/>
      <c r="E816" s="12"/>
      <c r="F816" s="12"/>
      <c r="G816" s="12"/>
      <c r="H816" s="12"/>
      <c r="I816" s="12"/>
      <c r="J816" s="12"/>
      <c r="K816" s="13"/>
      <c r="L816" s="9"/>
      <c r="M816" s="9"/>
      <c r="N816" s="9"/>
      <c r="O816" s="9"/>
      <c r="P816" s="9"/>
      <c r="Q816" s="9"/>
      <c r="R816" s="9"/>
      <c r="S816" s="9"/>
      <c r="T816" s="9"/>
      <c r="U816" s="9"/>
      <c r="V816" s="9"/>
      <c r="W816" s="9"/>
      <c r="X816" s="9"/>
      <c r="Y816" s="9"/>
      <c r="Z816" s="9"/>
      <c r="AA816" s="9"/>
      <c r="AB816" s="9"/>
      <c r="AC816" s="9"/>
      <c r="AD816" s="9"/>
    </row>
    <row r="817" spans="1:30" ht="14.25" customHeight="1">
      <c r="A817" s="11"/>
      <c r="B817" s="12"/>
      <c r="C817" s="12"/>
      <c r="D817" s="12"/>
      <c r="E817" s="12"/>
      <c r="F817" s="12"/>
      <c r="G817" s="12"/>
      <c r="H817" s="12"/>
      <c r="I817" s="12"/>
      <c r="J817" s="12"/>
      <c r="K817" s="13"/>
      <c r="L817" s="9"/>
      <c r="M817" s="9"/>
      <c r="N817" s="9"/>
      <c r="O817" s="9"/>
      <c r="P817" s="9"/>
      <c r="Q817" s="9"/>
      <c r="R817" s="9"/>
      <c r="S817" s="9"/>
      <c r="T817" s="9"/>
      <c r="U817" s="9"/>
      <c r="V817" s="9"/>
      <c r="W817" s="9"/>
      <c r="X817" s="9"/>
      <c r="Y817" s="9"/>
      <c r="Z817" s="9"/>
      <c r="AA817" s="9"/>
      <c r="AB817" s="9"/>
      <c r="AC817" s="9"/>
      <c r="AD817" s="9"/>
    </row>
    <row r="818" spans="1:30" ht="14.25" customHeight="1">
      <c r="A818" s="11"/>
      <c r="B818" s="12"/>
      <c r="C818" s="12"/>
      <c r="D818" s="12"/>
      <c r="E818" s="12"/>
      <c r="F818" s="12"/>
      <c r="G818" s="12"/>
      <c r="H818" s="12"/>
      <c r="I818" s="12"/>
      <c r="J818" s="12"/>
      <c r="K818" s="13"/>
      <c r="L818" s="9"/>
      <c r="M818" s="9"/>
      <c r="N818" s="9"/>
      <c r="O818" s="9"/>
      <c r="P818" s="9"/>
      <c r="Q818" s="9"/>
      <c r="R818" s="9"/>
      <c r="S818" s="9"/>
      <c r="T818" s="9"/>
      <c r="U818" s="9"/>
      <c r="V818" s="9"/>
      <c r="W818" s="9"/>
      <c r="X818" s="9"/>
      <c r="Y818" s="9"/>
      <c r="Z818" s="9"/>
      <c r="AA818" s="9"/>
      <c r="AB818" s="9"/>
      <c r="AC818" s="9"/>
      <c r="AD818" s="9"/>
    </row>
    <row r="819" spans="1:30" ht="14.25" customHeight="1">
      <c r="A819" s="11"/>
      <c r="B819" s="12"/>
      <c r="C819" s="12"/>
      <c r="D819" s="12"/>
      <c r="E819" s="12"/>
      <c r="F819" s="12"/>
      <c r="G819" s="12"/>
      <c r="H819" s="12"/>
      <c r="I819" s="12"/>
      <c r="J819" s="12"/>
      <c r="K819" s="13"/>
      <c r="L819" s="9"/>
      <c r="M819" s="9"/>
      <c r="N819" s="9"/>
      <c r="O819" s="9"/>
      <c r="P819" s="9"/>
      <c r="Q819" s="9"/>
      <c r="R819" s="9"/>
      <c r="S819" s="9"/>
      <c r="T819" s="9"/>
      <c r="U819" s="9"/>
      <c r="V819" s="9"/>
      <c r="W819" s="9"/>
      <c r="X819" s="9"/>
      <c r="Y819" s="9"/>
      <c r="Z819" s="9"/>
      <c r="AA819" s="9"/>
      <c r="AB819" s="9"/>
      <c r="AC819" s="9"/>
      <c r="AD819" s="9"/>
    </row>
    <row r="820" spans="1:30" ht="14.25" customHeight="1">
      <c r="A820" s="11"/>
      <c r="B820" s="12"/>
      <c r="C820" s="12"/>
      <c r="D820" s="12"/>
      <c r="E820" s="12"/>
      <c r="F820" s="12"/>
      <c r="G820" s="12"/>
      <c r="H820" s="12"/>
      <c r="I820" s="12"/>
      <c r="J820" s="12"/>
      <c r="K820" s="13"/>
      <c r="L820" s="9"/>
      <c r="M820" s="9"/>
      <c r="N820" s="9"/>
      <c r="O820" s="9"/>
      <c r="P820" s="9"/>
      <c r="Q820" s="9"/>
      <c r="R820" s="9"/>
      <c r="S820" s="9"/>
      <c r="T820" s="9"/>
      <c r="U820" s="9"/>
      <c r="V820" s="9"/>
      <c r="W820" s="9"/>
      <c r="X820" s="9"/>
      <c r="Y820" s="9"/>
      <c r="Z820" s="9"/>
      <c r="AA820" s="9"/>
      <c r="AB820" s="9"/>
      <c r="AC820" s="9"/>
      <c r="AD820" s="9"/>
    </row>
    <row r="821" spans="1:30" ht="14.25" customHeight="1">
      <c r="A821" s="11"/>
      <c r="B821" s="12"/>
      <c r="C821" s="12"/>
      <c r="D821" s="12"/>
      <c r="E821" s="12"/>
      <c r="F821" s="12"/>
      <c r="G821" s="12"/>
      <c r="H821" s="12"/>
      <c r="I821" s="12"/>
      <c r="J821" s="12"/>
      <c r="K821" s="13"/>
      <c r="L821" s="9"/>
      <c r="M821" s="9"/>
      <c r="N821" s="9"/>
      <c r="O821" s="9"/>
      <c r="P821" s="9"/>
      <c r="Q821" s="9"/>
      <c r="R821" s="9"/>
      <c r="S821" s="9"/>
      <c r="T821" s="9"/>
      <c r="U821" s="9"/>
      <c r="V821" s="9"/>
      <c r="W821" s="9"/>
      <c r="X821" s="9"/>
      <c r="Y821" s="9"/>
      <c r="Z821" s="9"/>
      <c r="AA821" s="9"/>
      <c r="AB821" s="9"/>
      <c r="AC821" s="9"/>
      <c r="AD821" s="9"/>
    </row>
    <row r="822" spans="1:30" ht="14.25" customHeight="1">
      <c r="A822" s="11"/>
      <c r="B822" s="12"/>
      <c r="C822" s="12"/>
      <c r="D822" s="12"/>
      <c r="E822" s="12"/>
      <c r="F822" s="12"/>
      <c r="G822" s="12"/>
      <c r="H822" s="12"/>
      <c r="I822" s="12"/>
      <c r="J822" s="12"/>
      <c r="K822" s="13"/>
      <c r="L822" s="9"/>
      <c r="M822" s="9"/>
      <c r="N822" s="9"/>
      <c r="O822" s="9"/>
      <c r="P822" s="9"/>
      <c r="Q822" s="9"/>
      <c r="R822" s="9"/>
      <c r="S822" s="9"/>
      <c r="T822" s="9"/>
      <c r="U822" s="9"/>
      <c r="V822" s="9"/>
      <c r="W822" s="9"/>
      <c r="X822" s="9"/>
      <c r="Y822" s="9"/>
      <c r="Z822" s="9"/>
      <c r="AA822" s="9"/>
      <c r="AB822" s="9"/>
      <c r="AC822" s="9"/>
      <c r="AD822" s="9"/>
    </row>
    <row r="823" spans="1:30" ht="14.25" customHeight="1">
      <c r="A823" s="11"/>
      <c r="B823" s="12"/>
      <c r="C823" s="12"/>
      <c r="D823" s="12"/>
      <c r="E823" s="12"/>
      <c r="F823" s="12"/>
      <c r="G823" s="12"/>
      <c r="H823" s="12"/>
      <c r="I823" s="12"/>
      <c r="J823" s="12"/>
      <c r="K823" s="13"/>
      <c r="L823" s="9"/>
      <c r="M823" s="9"/>
      <c r="N823" s="9"/>
      <c r="O823" s="9"/>
      <c r="P823" s="9"/>
      <c r="Q823" s="9"/>
      <c r="R823" s="9"/>
      <c r="S823" s="9"/>
      <c r="T823" s="9"/>
      <c r="U823" s="9"/>
      <c r="V823" s="9"/>
      <c r="W823" s="9"/>
      <c r="X823" s="9"/>
      <c r="Y823" s="9"/>
      <c r="Z823" s="9"/>
      <c r="AA823" s="9"/>
      <c r="AB823" s="9"/>
      <c r="AC823" s="9"/>
      <c r="AD823" s="9"/>
    </row>
    <row r="824" spans="1:30" ht="14.25" customHeight="1">
      <c r="A824" s="11"/>
      <c r="B824" s="12"/>
      <c r="C824" s="12"/>
      <c r="D824" s="12"/>
      <c r="E824" s="12"/>
      <c r="F824" s="12"/>
      <c r="G824" s="12"/>
      <c r="H824" s="12"/>
      <c r="I824" s="12"/>
      <c r="J824" s="12"/>
      <c r="K824" s="13"/>
      <c r="L824" s="9"/>
      <c r="M824" s="9"/>
      <c r="N824" s="9"/>
      <c r="O824" s="9"/>
      <c r="P824" s="9"/>
      <c r="Q824" s="9"/>
      <c r="R824" s="9"/>
      <c r="S824" s="9"/>
      <c r="T824" s="9"/>
      <c r="U824" s="9"/>
      <c r="V824" s="9"/>
      <c r="W824" s="9"/>
      <c r="X824" s="9"/>
      <c r="Y824" s="9"/>
      <c r="Z824" s="9"/>
      <c r="AA824" s="9"/>
      <c r="AB824" s="9"/>
      <c r="AC824" s="9"/>
      <c r="AD824" s="9"/>
    </row>
    <row r="825" spans="1:30" ht="14.25" customHeight="1">
      <c r="A825" s="11"/>
      <c r="B825" s="12"/>
      <c r="C825" s="12"/>
      <c r="D825" s="12"/>
      <c r="E825" s="12"/>
      <c r="F825" s="12"/>
      <c r="G825" s="12"/>
      <c r="H825" s="12"/>
      <c r="I825" s="12"/>
      <c r="J825" s="12"/>
      <c r="K825" s="13"/>
      <c r="L825" s="9"/>
      <c r="M825" s="9"/>
      <c r="N825" s="9"/>
      <c r="O825" s="9"/>
      <c r="P825" s="9"/>
      <c r="Q825" s="9"/>
      <c r="R825" s="9"/>
      <c r="S825" s="9"/>
      <c r="T825" s="9"/>
      <c r="U825" s="9"/>
      <c r="V825" s="9"/>
      <c r="W825" s="9"/>
      <c r="X825" s="9"/>
      <c r="Y825" s="9"/>
      <c r="Z825" s="9"/>
      <c r="AA825" s="9"/>
      <c r="AB825" s="9"/>
      <c r="AC825" s="9"/>
      <c r="AD825" s="9"/>
    </row>
    <row r="826" spans="1:30" ht="14.25" customHeight="1">
      <c r="A826" s="11"/>
      <c r="B826" s="12"/>
      <c r="C826" s="12"/>
      <c r="D826" s="12"/>
      <c r="E826" s="12"/>
      <c r="F826" s="12"/>
      <c r="G826" s="12"/>
      <c r="H826" s="12"/>
      <c r="I826" s="12"/>
      <c r="J826" s="12"/>
      <c r="K826" s="13"/>
      <c r="L826" s="9"/>
      <c r="M826" s="9"/>
      <c r="N826" s="9"/>
      <c r="O826" s="9"/>
      <c r="P826" s="9"/>
      <c r="Q826" s="9"/>
      <c r="R826" s="9"/>
      <c r="S826" s="9"/>
      <c r="T826" s="9"/>
      <c r="U826" s="9"/>
      <c r="V826" s="9"/>
      <c r="W826" s="9"/>
      <c r="X826" s="9"/>
      <c r="Y826" s="9"/>
      <c r="Z826" s="9"/>
      <c r="AA826" s="9"/>
      <c r="AB826" s="9"/>
      <c r="AC826" s="9"/>
      <c r="AD826" s="9"/>
    </row>
    <row r="827" spans="1:30" ht="14.25" customHeight="1">
      <c r="A827" s="11"/>
      <c r="B827" s="12"/>
      <c r="C827" s="12"/>
      <c r="D827" s="12"/>
      <c r="E827" s="12"/>
      <c r="F827" s="12"/>
      <c r="G827" s="12"/>
      <c r="H827" s="12"/>
      <c r="I827" s="12"/>
      <c r="J827" s="12"/>
      <c r="K827" s="13"/>
      <c r="L827" s="9"/>
      <c r="M827" s="9"/>
      <c r="N827" s="9"/>
      <c r="O827" s="9"/>
      <c r="P827" s="9"/>
      <c r="Q827" s="9"/>
      <c r="R827" s="9"/>
      <c r="S827" s="9"/>
      <c r="T827" s="9"/>
      <c r="U827" s="9"/>
      <c r="V827" s="9"/>
      <c r="W827" s="9"/>
      <c r="X827" s="9"/>
      <c r="Y827" s="9"/>
      <c r="Z827" s="9"/>
      <c r="AA827" s="9"/>
      <c r="AB827" s="9"/>
      <c r="AC827" s="9"/>
      <c r="AD827" s="9"/>
    </row>
    <row r="828" spans="1:30" ht="14.25" customHeight="1">
      <c r="A828" s="11"/>
      <c r="B828" s="12"/>
      <c r="C828" s="12"/>
      <c r="D828" s="12"/>
      <c r="E828" s="12"/>
      <c r="F828" s="12"/>
      <c r="G828" s="12"/>
      <c r="H828" s="12"/>
      <c r="I828" s="12"/>
      <c r="J828" s="12"/>
      <c r="K828" s="13"/>
      <c r="L828" s="9"/>
      <c r="M828" s="9"/>
      <c r="N828" s="9"/>
      <c r="O828" s="9"/>
      <c r="P828" s="9"/>
      <c r="Q828" s="9"/>
      <c r="R828" s="9"/>
      <c r="S828" s="9"/>
      <c r="T828" s="9"/>
      <c r="U828" s="9"/>
      <c r="V828" s="9"/>
      <c r="W828" s="9"/>
      <c r="X828" s="9"/>
      <c r="Y828" s="9"/>
      <c r="Z828" s="9"/>
      <c r="AA828" s="9"/>
      <c r="AB828" s="9"/>
      <c r="AC828" s="9"/>
      <c r="AD828" s="9"/>
    </row>
    <row r="829" spans="1:30" ht="14.25" customHeight="1">
      <c r="A829" s="11"/>
      <c r="B829" s="12"/>
      <c r="C829" s="12"/>
      <c r="D829" s="12"/>
      <c r="E829" s="12"/>
      <c r="F829" s="12"/>
      <c r="G829" s="12"/>
      <c r="H829" s="12"/>
      <c r="I829" s="12"/>
      <c r="J829" s="12"/>
      <c r="K829" s="13"/>
      <c r="L829" s="9"/>
      <c r="M829" s="9"/>
      <c r="N829" s="9"/>
      <c r="O829" s="9"/>
      <c r="P829" s="9"/>
      <c r="Q829" s="9"/>
      <c r="R829" s="9"/>
      <c r="S829" s="9"/>
      <c r="T829" s="9"/>
      <c r="U829" s="9"/>
      <c r="V829" s="9"/>
      <c r="W829" s="9"/>
      <c r="X829" s="9"/>
      <c r="Y829" s="9"/>
      <c r="Z829" s="9"/>
      <c r="AA829" s="9"/>
      <c r="AB829" s="9"/>
      <c r="AC829" s="9"/>
      <c r="AD829" s="9"/>
    </row>
    <row r="830" spans="1:30" ht="14.25" customHeight="1">
      <c r="A830" s="11"/>
      <c r="B830" s="12"/>
      <c r="C830" s="12"/>
      <c r="D830" s="12"/>
      <c r="E830" s="12"/>
      <c r="F830" s="12"/>
      <c r="G830" s="12"/>
      <c r="H830" s="12"/>
      <c r="I830" s="12"/>
      <c r="J830" s="12"/>
      <c r="K830" s="13"/>
      <c r="L830" s="9"/>
      <c r="M830" s="9"/>
      <c r="N830" s="9"/>
      <c r="O830" s="9"/>
      <c r="P830" s="9"/>
      <c r="Q830" s="9"/>
      <c r="R830" s="9"/>
      <c r="S830" s="9"/>
      <c r="T830" s="9"/>
      <c r="U830" s="9"/>
      <c r="V830" s="9"/>
      <c r="W830" s="9"/>
      <c r="X830" s="9"/>
      <c r="Y830" s="9"/>
      <c r="Z830" s="9"/>
      <c r="AA830" s="9"/>
      <c r="AB830" s="9"/>
      <c r="AC830" s="9"/>
      <c r="AD830" s="9"/>
    </row>
    <row r="831" spans="1:30" ht="14.25" customHeight="1">
      <c r="A831" s="11"/>
      <c r="B831" s="12"/>
      <c r="C831" s="12"/>
      <c r="D831" s="12"/>
      <c r="E831" s="12"/>
      <c r="F831" s="12"/>
      <c r="G831" s="12"/>
      <c r="H831" s="12"/>
      <c r="I831" s="12"/>
      <c r="J831" s="12"/>
      <c r="K831" s="13"/>
      <c r="L831" s="9"/>
      <c r="M831" s="9"/>
      <c r="N831" s="9"/>
      <c r="O831" s="9"/>
      <c r="P831" s="9"/>
      <c r="Q831" s="9"/>
      <c r="R831" s="9"/>
      <c r="S831" s="9"/>
      <c r="T831" s="9"/>
      <c r="U831" s="9"/>
      <c r="V831" s="9"/>
      <c r="W831" s="9"/>
      <c r="X831" s="9"/>
      <c r="Y831" s="9"/>
      <c r="Z831" s="9"/>
      <c r="AA831" s="9"/>
      <c r="AB831" s="9"/>
      <c r="AC831" s="9"/>
      <c r="AD831" s="9"/>
    </row>
    <row r="832" spans="1:30" ht="14.25" customHeight="1">
      <c r="A832" s="11"/>
      <c r="B832" s="12"/>
      <c r="C832" s="12"/>
      <c r="D832" s="12"/>
      <c r="E832" s="12"/>
      <c r="F832" s="12"/>
      <c r="G832" s="12"/>
      <c r="H832" s="12"/>
      <c r="I832" s="12"/>
      <c r="J832" s="12"/>
      <c r="K832" s="13"/>
      <c r="L832" s="9"/>
      <c r="M832" s="9"/>
      <c r="N832" s="9"/>
      <c r="O832" s="9"/>
      <c r="P832" s="9"/>
      <c r="Q832" s="9"/>
      <c r="R832" s="9"/>
      <c r="S832" s="9"/>
      <c r="T832" s="9"/>
      <c r="U832" s="9"/>
      <c r="V832" s="9"/>
      <c r="W832" s="9"/>
      <c r="X832" s="9"/>
      <c r="Y832" s="9"/>
      <c r="Z832" s="9"/>
      <c r="AA832" s="9"/>
      <c r="AB832" s="9"/>
      <c r="AC832" s="9"/>
      <c r="AD832" s="9"/>
    </row>
    <row r="833" spans="1:30" ht="14.25" customHeight="1">
      <c r="A833" s="11"/>
      <c r="B833" s="12"/>
      <c r="C833" s="12"/>
      <c r="D833" s="12"/>
      <c r="E833" s="12"/>
      <c r="F833" s="12"/>
      <c r="G833" s="12"/>
      <c r="H833" s="12"/>
      <c r="I833" s="12"/>
      <c r="J833" s="12"/>
      <c r="K833" s="13"/>
      <c r="L833" s="9"/>
      <c r="M833" s="9"/>
      <c r="N833" s="9"/>
      <c r="O833" s="9"/>
      <c r="P833" s="9"/>
      <c r="Q833" s="9"/>
      <c r="R833" s="9"/>
      <c r="S833" s="9"/>
      <c r="T833" s="9"/>
      <c r="U833" s="9"/>
      <c r="V833" s="9"/>
      <c r="W833" s="9"/>
      <c r="X833" s="9"/>
      <c r="Y833" s="9"/>
      <c r="Z833" s="9"/>
      <c r="AA833" s="9"/>
      <c r="AB833" s="9"/>
      <c r="AC833" s="9"/>
      <c r="AD833" s="9"/>
    </row>
    <row r="834" spans="1:30" ht="14.25" customHeight="1">
      <c r="A834" s="11"/>
      <c r="B834" s="12"/>
      <c r="C834" s="12"/>
      <c r="D834" s="12"/>
      <c r="E834" s="12"/>
      <c r="F834" s="12"/>
      <c r="G834" s="12"/>
      <c r="H834" s="12"/>
      <c r="I834" s="12"/>
      <c r="J834" s="12"/>
      <c r="K834" s="13"/>
      <c r="L834" s="9"/>
      <c r="M834" s="9"/>
      <c r="N834" s="9"/>
      <c r="O834" s="9"/>
      <c r="P834" s="9"/>
      <c r="Q834" s="9"/>
      <c r="R834" s="9"/>
      <c r="S834" s="9"/>
      <c r="T834" s="9"/>
      <c r="U834" s="9"/>
      <c r="V834" s="9"/>
      <c r="W834" s="9"/>
      <c r="X834" s="9"/>
      <c r="Y834" s="9"/>
      <c r="Z834" s="9"/>
      <c r="AA834" s="9"/>
      <c r="AB834" s="9"/>
      <c r="AC834" s="9"/>
      <c r="AD834" s="9"/>
    </row>
    <row r="835" spans="1:30" ht="14.25" customHeight="1">
      <c r="A835" s="11"/>
      <c r="B835" s="12"/>
      <c r="C835" s="12"/>
      <c r="D835" s="12"/>
      <c r="E835" s="12"/>
      <c r="F835" s="12"/>
      <c r="G835" s="12"/>
      <c r="H835" s="12"/>
      <c r="I835" s="12"/>
      <c r="J835" s="12"/>
      <c r="K835" s="13"/>
      <c r="L835" s="9"/>
      <c r="M835" s="9"/>
      <c r="N835" s="9"/>
      <c r="O835" s="9"/>
      <c r="P835" s="9"/>
      <c r="Q835" s="9"/>
      <c r="R835" s="9"/>
      <c r="S835" s="9"/>
      <c r="T835" s="9"/>
      <c r="U835" s="9"/>
      <c r="V835" s="9"/>
      <c r="W835" s="9"/>
      <c r="X835" s="9"/>
      <c r="Y835" s="9"/>
      <c r="Z835" s="9"/>
      <c r="AA835" s="9"/>
      <c r="AB835" s="9"/>
      <c r="AC835" s="9"/>
      <c r="AD835" s="9"/>
    </row>
    <row r="836" spans="1:30" ht="14.25" customHeight="1">
      <c r="A836" s="11"/>
      <c r="B836" s="12"/>
      <c r="C836" s="12"/>
      <c r="D836" s="12"/>
      <c r="E836" s="12"/>
      <c r="F836" s="12"/>
      <c r="G836" s="12"/>
      <c r="H836" s="12"/>
      <c r="I836" s="12"/>
      <c r="J836" s="12"/>
      <c r="K836" s="13"/>
      <c r="L836" s="9"/>
      <c r="M836" s="9"/>
      <c r="N836" s="9"/>
      <c r="O836" s="9"/>
      <c r="P836" s="9"/>
      <c r="Q836" s="9"/>
      <c r="R836" s="9"/>
      <c r="S836" s="9"/>
      <c r="T836" s="9"/>
      <c r="U836" s="9"/>
      <c r="V836" s="9"/>
      <c r="W836" s="9"/>
      <c r="X836" s="9"/>
      <c r="Y836" s="9"/>
      <c r="Z836" s="9"/>
      <c r="AA836" s="9"/>
      <c r="AB836" s="9"/>
      <c r="AC836" s="9"/>
      <c r="AD836" s="9"/>
    </row>
    <row r="837" spans="1:30" ht="14.25" customHeight="1">
      <c r="A837" s="11"/>
      <c r="B837" s="12"/>
      <c r="C837" s="12"/>
      <c r="D837" s="12"/>
      <c r="E837" s="12"/>
      <c r="F837" s="12"/>
      <c r="G837" s="12"/>
      <c r="H837" s="12"/>
      <c r="I837" s="12"/>
      <c r="J837" s="12"/>
      <c r="K837" s="13"/>
      <c r="L837" s="9"/>
      <c r="M837" s="9"/>
      <c r="N837" s="9"/>
      <c r="O837" s="9"/>
      <c r="P837" s="9"/>
      <c r="Q837" s="9"/>
      <c r="R837" s="9"/>
      <c r="S837" s="9"/>
      <c r="T837" s="9"/>
      <c r="U837" s="9"/>
      <c r="V837" s="9"/>
      <c r="W837" s="9"/>
      <c r="X837" s="9"/>
      <c r="Y837" s="9"/>
      <c r="Z837" s="9"/>
      <c r="AA837" s="9"/>
      <c r="AB837" s="9"/>
      <c r="AC837" s="9"/>
      <c r="AD837" s="9"/>
    </row>
    <row r="838" spans="1:30" ht="14.25" customHeight="1">
      <c r="A838" s="11"/>
      <c r="B838" s="12"/>
      <c r="C838" s="12"/>
      <c r="D838" s="12"/>
      <c r="E838" s="12"/>
      <c r="F838" s="12"/>
      <c r="G838" s="12"/>
      <c r="H838" s="12"/>
      <c r="I838" s="12"/>
      <c r="J838" s="12"/>
      <c r="K838" s="13"/>
      <c r="L838" s="9"/>
      <c r="M838" s="9"/>
      <c r="N838" s="9"/>
      <c r="O838" s="9"/>
      <c r="P838" s="9"/>
      <c r="Q838" s="9"/>
      <c r="R838" s="9"/>
      <c r="S838" s="9"/>
      <c r="T838" s="9"/>
      <c r="U838" s="9"/>
      <c r="V838" s="9"/>
      <c r="W838" s="9"/>
      <c r="X838" s="9"/>
      <c r="Y838" s="9"/>
      <c r="Z838" s="9"/>
      <c r="AA838" s="9"/>
      <c r="AB838" s="9"/>
      <c r="AC838" s="9"/>
      <c r="AD838" s="9"/>
    </row>
    <row r="839" spans="1:30" ht="14.25" customHeight="1">
      <c r="A839" s="11"/>
      <c r="B839" s="12"/>
      <c r="C839" s="12"/>
      <c r="D839" s="12"/>
      <c r="E839" s="12"/>
      <c r="F839" s="12"/>
      <c r="G839" s="12"/>
      <c r="H839" s="12"/>
      <c r="I839" s="12"/>
      <c r="J839" s="12"/>
      <c r="K839" s="13"/>
      <c r="L839" s="9"/>
      <c r="M839" s="9"/>
      <c r="N839" s="9"/>
      <c r="O839" s="9"/>
      <c r="P839" s="9"/>
      <c r="Q839" s="9"/>
      <c r="R839" s="9"/>
      <c r="S839" s="9"/>
      <c r="T839" s="9"/>
      <c r="U839" s="9"/>
      <c r="V839" s="9"/>
      <c r="W839" s="9"/>
      <c r="X839" s="9"/>
      <c r="Y839" s="9"/>
      <c r="Z839" s="9"/>
      <c r="AA839" s="9"/>
      <c r="AB839" s="9"/>
      <c r="AC839" s="9"/>
      <c r="AD839" s="9"/>
    </row>
    <row r="840" spans="1:30" ht="14.25" customHeight="1">
      <c r="A840" s="11"/>
      <c r="B840" s="12"/>
      <c r="C840" s="12"/>
      <c r="D840" s="12"/>
      <c r="E840" s="12"/>
      <c r="F840" s="12"/>
      <c r="G840" s="12"/>
      <c r="H840" s="12"/>
      <c r="I840" s="12"/>
      <c r="J840" s="12"/>
      <c r="K840" s="13"/>
      <c r="L840" s="9"/>
      <c r="M840" s="9"/>
      <c r="N840" s="9"/>
      <c r="O840" s="9"/>
      <c r="P840" s="9"/>
      <c r="Q840" s="9"/>
      <c r="R840" s="9"/>
      <c r="S840" s="9"/>
      <c r="T840" s="9"/>
      <c r="U840" s="9"/>
      <c r="V840" s="9"/>
      <c r="W840" s="9"/>
      <c r="X840" s="9"/>
      <c r="Y840" s="9"/>
      <c r="Z840" s="9"/>
      <c r="AA840" s="9"/>
      <c r="AB840" s="9"/>
      <c r="AC840" s="9"/>
      <c r="AD840" s="9"/>
    </row>
    <row r="841" spans="1:30" ht="14.25" customHeight="1">
      <c r="A841" s="11"/>
      <c r="B841" s="12"/>
      <c r="C841" s="12"/>
      <c r="D841" s="12"/>
      <c r="E841" s="12"/>
      <c r="F841" s="12"/>
      <c r="G841" s="12"/>
      <c r="H841" s="12"/>
      <c r="I841" s="12"/>
      <c r="J841" s="12"/>
      <c r="K841" s="13"/>
      <c r="L841" s="9"/>
      <c r="M841" s="9"/>
      <c r="N841" s="9"/>
      <c r="O841" s="9"/>
      <c r="P841" s="9"/>
      <c r="Q841" s="9"/>
      <c r="R841" s="9"/>
      <c r="S841" s="9"/>
      <c r="T841" s="9"/>
      <c r="U841" s="9"/>
      <c r="V841" s="9"/>
      <c r="W841" s="9"/>
      <c r="X841" s="9"/>
      <c r="Y841" s="9"/>
      <c r="Z841" s="9"/>
      <c r="AA841" s="9"/>
      <c r="AB841" s="9"/>
      <c r="AC841" s="9"/>
      <c r="AD841" s="9"/>
    </row>
    <row r="842" spans="1:30" ht="14.25" customHeight="1">
      <c r="A842" s="11"/>
      <c r="B842" s="12"/>
      <c r="C842" s="12"/>
      <c r="D842" s="12"/>
      <c r="E842" s="12"/>
      <c r="F842" s="12"/>
      <c r="G842" s="12"/>
      <c r="H842" s="12"/>
      <c r="I842" s="12"/>
      <c r="J842" s="12"/>
      <c r="K842" s="13"/>
      <c r="L842" s="9"/>
      <c r="M842" s="9"/>
      <c r="N842" s="9"/>
      <c r="O842" s="9"/>
      <c r="P842" s="9"/>
      <c r="Q842" s="9"/>
      <c r="R842" s="9"/>
      <c r="S842" s="9"/>
      <c r="T842" s="9"/>
      <c r="U842" s="9"/>
      <c r="V842" s="9"/>
      <c r="W842" s="9"/>
      <c r="X842" s="9"/>
      <c r="Y842" s="9"/>
      <c r="Z842" s="9"/>
      <c r="AA842" s="9"/>
      <c r="AB842" s="9"/>
      <c r="AC842" s="9"/>
      <c r="AD842" s="9"/>
    </row>
    <row r="843" spans="1:30" ht="14.25" customHeight="1">
      <c r="A843" s="11"/>
      <c r="B843" s="12"/>
      <c r="C843" s="12"/>
      <c r="D843" s="12"/>
      <c r="E843" s="12"/>
      <c r="F843" s="12"/>
      <c r="G843" s="12"/>
      <c r="H843" s="12"/>
      <c r="I843" s="12"/>
      <c r="J843" s="12"/>
      <c r="K843" s="13"/>
      <c r="L843" s="9"/>
      <c r="M843" s="9"/>
      <c r="N843" s="9"/>
      <c r="O843" s="9"/>
      <c r="P843" s="9"/>
      <c r="Q843" s="9"/>
      <c r="R843" s="9"/>
      <c r="S843" s="9"/>
      <c r="T843" s="9"/>
      <c r="U843" s="9"/>
      <c r="V843" s="9"/>
      <c r="W843" s="9"/>
      <c r="X843" s="9"/>
      <c r="Y843" s="9"/>
      <c r="Z843" s="9"/>
      <c r="AA843" s="9"/>
      <c r="AB843" s="9"/>
      <c r="AC843" s="9"/>
      <c r="AD843" s="9"/>
    </row>
    <row r="844" spans="1:30" ht="14.25" customHeight="1">
      <c r="A844" s="11"/>
      <c r="B844" s="12"/>
      <c r="C844" s="12"/>
      <c r="D844" s="12"/>
      <c r="E844" s="12"/>
      <c r="F844" s="12"/>
      <c r="G844" s="12"/>
      <c r="H844" s="12"/>
      <c r="I844" s="12"/>
      <c r="J844" s="12"/>
      <c r="K844" s="13"/>
      <c r="L844" s="9"/>
      <c r="M844" s="9"/>
      <c r="N844" s="9"/>
      <c r="O844" s="9"/>
      <c r="P844" s="9"/>
      <c r="Q844" s="9"/>
      <c r="R844" s="9"/>
      <c r="S844" s="9"/>
      <c r="T844" s="9"/>
      <c r="U844" s="9"/>
      <c r="V844" s="9"/>
      <c r="W844" s="9"/>
      <c r="X844" s="9"/>
      <c r="Y844" s="9"/>
      <c r="Z844" s="9"/>
      <c r="AA844" s="9"/>
      <c r="AB844" s="9"/>
      <c r="AC844" s="9"/>
      <c r="AD844" s="9"/>
    </row>
    <row r="845" spans="1:30" ht="14.25" customHeight="1">
      <c r="A845" s="11"/>
      <c r="B845" s="12"/>
      <c r="C845" s="12"/>
      <c r="D845" s="12"/>
      <c r="E845" s="12"/>
      <c r="F845" s="12"/>
      <c r="G845" s="12"/>
      <c r="H845" s="12"/>
      <c r="I845" s="12"/>
      <c r="J845" s="12"/>
      <c r="K845" s="13"/>
      <c r="L845" s="9"/>
      <c r="M845" s="9"/>
      <c r="N845" s="9"/>
      <c r="O845" s="9"/>
      <c r="P845" s="9"/>
      <c r="Q845" s="9"/>
      <c r="R845" s="9"/>
      <c r="S845" s="9"/>
      <c r="T845" s="9"/>
      <c r="U845" s="9"/>
      <c r="V845" s="9"/>
      <c r="W845" s="9"/>
      <c r="X845" s="9"/>
      <c r="Y845" s="9"/>
      <c r="Z845" s="9"/>
      <c r="AA845" s="9"/>
      <c r="AB845" s="9"/>
      <c r="AC845" s="9"/>
      <c r="AD845" s="9"/>
    </row>
    <row r="846" spans="1:30" ht="14.25" customHeight="1">
      <c r="A846" s="11"/>
      <c r="B846" s="12"/>
      <c r="C846" s="12"/>
      <c r="D846" s="12"/>
      <c r="E846" s="12"/>
      <c r="F846" s="12"/>
      <c r="G846" s="12"/>
      <c r="H846" s="12"/>
      <c r="I846" s="12"/>
      <c r="J846" s="12"/>
      <c r="K846" s="13"/>
      <c r="L846" s="9"/>
      <c r="M846" s="9"/>
      <c r="N846" s="9"/>
      <c r="O846" s="9"/>
      <c r="P846" s="9"/>
      <c r="Q846" s="9"/>
      <c r="R846" s="9"/>
      <c r="S846" s="9"/>
      <c r="T846" s="9"/>
      <c r="U846" s="9"/>
      <c r="V846" s="9"/>
      <c r="W846" s="9"/>
      <c r="X846" s="9"/>
      <c r="Y846" s="9"/>
      <c r="Z846" s="9"/>
      <c r="AA846" s="9"/>
      <c r="AB846" s="9"/>
      <c r="AC846" s="9"/>
      <c r="AD846" s="9"/>
    </row>
    <row r="847" spans="1:30" ht="14.25" customHeight="1">
      <c r="A847" s="11"/>
      <c r="B847" s="12"/>
      <c r="C847" s="12"/>
      <c r="D847" s="12"/>
      <c r="E847" s="12"/>
      <c r="F847" s="12"/>
      <c r="G847" s="12"/>
      <c r="H847" s="12"/>
      <c r="I847" s="12"/>
      <c r="J847" s="12"/>
      <c r="K847" s="13"/>
      <c r="L847" s="9"/>
      <c r="M847" s="9"/>
      <c r="N847" s="9"/>
      <c r="O847" s="9"/>
      <c r="P847" s="9"/>
      <c r="Q847" s="9"/>
      <c r="R847" s="9"/>
      <c r="S847" s="9"/>
      <c r="T847" s="9"/>
      <c r="U847" s="9"/>
      <c r="V847" s="9"/>
      <c r="W847" s="9"/>
      <c r="X847" s="9"/>
      <c r="Y847" s="9"/>
      <c r="Z847" s="9"/>
      <c r="AA847" s="9"/>
      <c r="AB847" s="9"/>
      <c r="AC847" s="9"/>
      <c r="AD847" s="9"/>
    </row>
    <row r="848" spans="1:30" ht="14.25" customHeight="1">
      <c r="A848" s="11"/>
      <c r="B848" s="12"/>
      <c r="C848" s="12"/>
      <c r="D848" s="12"/>
      <c r="E848" s="12"/>
      <c r="F848" s="12"/>
      <c r="G848" s="12"/>
      <c r="H848" s="12"/>
      <c r="I848" s="12"/>
      <c r="J848" s="12"/>
      <c r="K848" s="13"/>
      <c r="L848" s="9"/>
      <c r="M848" s="9"/>
      <c r="N848" s="9"/>
      <c r="O848" s="9"/>
      <c r="P848" s="9"/>
      <c r="Q848" s="9"/>
      <c r="R848" s="9"/>
      <c r="S848" s="9"/>
      <c r="T848" s="9"/>
      <c r="U848" s="9"/>
      <c r="V848" s="9"/>
      <c r="W848" s="9"/>
      <c r="X848" s="9"/>
      <c r="Y848" s="9"/>
      <c r="Z848" s="9"/>
      <c r="AA848" s="9"/>
      <c r="AB848" s="9"/>
      <c r="AC848" s="9"/>
      <c r="AD848" s="9"/>
    </row>
    <row r="849" spans="1:30" ht="14.25" customHeight="1">
      <c r="A849" s="11"/>
      <c r="B849" s="12"/>
      <c r="C849" s="12"/>
      <c r="D849" s="12"/>
      <c r="E849" s="12"/>
      <c r="F849" s="12"/>
      <c r="G849" s="12"/>
      <c r="H849" s="12"/>
      <c r="I849" s="12"/>
      <c r="J849" s="12"/>
      <c r="K849" s="13"/>
      <c r="L849" s="9"/>
      <c r="M849" s="9"/>
      <c r="N849" s="9"/>
      <c r="O849" s="9"/>
      <c r="P849" s="9"/>
      <c r="Q849" s="9"/>
      <c r="R849" s="9"/>
      <c r="S849" s="9"/>
      <c r="T849" s="9"/>
      <c r="U849" s="9"/>
      <c r="V849" s="9"/>
      <c r="W849" s="9"/>
      <c r="X849" s="9"/>
      <c r="Y849" s="9"/>
      <c r="Z849" s="9"/>
      <c r="AA849" s="9"/>
      <c r="AB849" s="9"/>
      <c r="AC849" s="9"/>
      <c r="AD849" s="9"/>
    </row>
    <row r="850" spans="1:30" ht="14.25" customHeight="1">
      <c r="A850" s="11"/>
      <c r="B850" s="12"/>
      <c r="C850" s="12"/>
      <c r="D850" s="12"/>
      <c r="E850" s="12"/>
      <c r="F850" s="12"/>
      <c r="G850" s="12"/>
      <c r="H850" s="12"/>
      <c r="I850" s="12"/>
      <c r="J850" s="12"/>
      <c r="K850" s="13"/>
      <c r="L850" s="9"/>
      <c r="M850" s="9"/>
      <c r="N850" s="9"/>
      <c r="O850" s="9"/>
      <c r="P850" s="9"/>
      <c r="Q850" s="9"/>
      <c r="R850" s="9"/>
      <c r="S850" s="9"/>
      <c r="T850" s="9"/>
      <c r="U850" s="9"/>
      <c r="V850" s="9"/>
      <c r="W850" s="9"/>
      <c r="X850" s="9"/>
      <c r="Y850" s="9"/>
      <c r="Z850" s="9"/>
      <c r="AA850" s="9"/>
      <c r="AB850" s="9"/>
      <c r="AC850" s="9"/>
      <c r="AD850" s="9"/>
    </row>
    <row r="851" spans="1:30" ht="14.25" customHeight="1">
      <c r="A851" s="11"/>
      <c r="B851" s="12"/>
      <c r="C851" s="12"/>
      <c r="D851" s="12"/>
      <c r="E851" s="12"/>
      <c r="F851" s="12"/>
      <c r="G851" s="12"/>
      <c r="H851" s="12"/>
      <c r="I851" s="12"/>
      <c r="J851" s="12"/>
      <c r="K851" s="13"/>
      <c r="L851" s="9"/>
      <c r="M851" s="9"/>
      <c r="N851" s="9"/>
      <c r="O851" s="9"/>
      <c r="P851" s="9"/>
      <c r="Q851" s="9"/>
      <c r="R851" s="9"/>
      <c r="S851" s="9"/>
      <c r="T851" s="9"/>
      <c r="U851" s="9"/>
      <c r="V851" s="9"/>
      <c r="W851" s="9"/>
      <c r="X851" s="9"/>
      <c r="Y851" s="9"/>
      <c r="Z851" s="9"/>
      <c r="AA851" s="9"/>
      <c r="AB851" s="9"/>
      <c r="AC851" s="9"/>
      <c r="AD851" s="9"/>
    </row>
    <row r="852" spans="1:30" ht="14.25" customHeight="1">
      <c r="A852" s="11"/>
      <c r="B852" s="12"/>
      <c r="C852" s="12"/>
      <c r="D852" s="12"/>
      <c r="E852" s="12"/>
      <c r="F852" s="12"/>
      <c r="G852" s="12"/>
      <c r="H852" s="12"/>
      <c r="I852" s="12"/>
      <c r="J852" s="12"/>
      <c r="K852" s="13"/>
      <c r="L852" s="9"/>
      <c r="M852" s="9"/>
      <c r="N852" s="9"/>
      <c r="O852" s="9"/>
      <c r="P852" s="9"/>
      <c r="Q852" s="9"/>
      <c r="R852" s="9"/>
      <c r="S852" s="9"/>
      <c r="T852" s="9"/>
      <c r="U852" s="9"/>
      <c r="V852" s="9"/>
      <c r="W852" s="9"/>
      <c r="X852" s="9"/>
      <c r="Y852" s="9"/>
      <c r="Z852" s="9"/>
      <c r="AA852" s="9"/>
      <c r="AB852" s="9"/>
      <c r="AC852" s="9"/>
      <c r="AD852" s="9"/>
    </row>
    <row r="853" spans="1:30" ht="14.25" customHeight="1">
      <c r="A853" s="11"/>
      <c r="B853" s="12"/>
      <c r="C853" s="12"/>
      <c r="D853" s="12"/>
      <c r="E853" s="12"/>
      <c r="F853" s="12"/>
      <c r="G853" s="12"/>
      <c r="H853" s="12"/>
      <c r="I853" s="12"/>
      <c r="J853" s="12"/>
      <c r="K853" s="13"/>
      <c r="L853" s="9"/>
      <c r="M853" s="9"/>
      <c r="N853" s="9"/>
      <c r="O853" s="9"/>
      <c r="P853" s="9"/>
      <c r="Q853" s="9"/>
      <c r="R853" s="9"/>
      <c r="S853" s="9"/>
      <c r="T853" s="9"/>
      <c r="U853" s="9"/>
      <c r="V853" s="9"/>
      <c r="W853" s="9"/>
      <c r="X853" s="9"/>
      <c r="Y853" s="9"/>
      <c r="Z853" s="9"/>
      <c r="AA853" s="9"/>
      <c r="AB853" s="9"/>
      <c r="AC853" s="9"/>
      <c r="AD853" s="9"/>
    </row>
    <row r="854" spans="1:30" ht="14.25" customHeight="1">
      <c r="A854" s="11"/>
      <c r="B854" s="12"/>
      <c r="C854" s="12"/>
      <c r="D854" s="12"/>
      <c r="E854" s="12"/>
      <c r="F854" s="12"/>
      <c r="G854" s="12"/>
      <c r="H854" s="12"/>
      <c r="I854" s="12"/>
      <c r="J854" s="12"/>
      <c r="K854" s="13"/>
      <c r="L854" s="9"/>
      <c r="M854" s="9"/>
      <c r="N854" s="9"/>
      <c r="O854" s="9"/>
      <c r="P854" s="9"/>
      <c r="Q854" s="9"/>
      <c r="R854" s="9"/>
      <c r="S854" s="9"/>
      <c r="T854" s="9"/>
      <c r="U854" s="9"/>
      <c r="V854" s="9"/>
      <c r="W854" s="9"/>
      <c r="X854" s="9"/>
      <c r="Y854" s="9"/>
      <c r="Z854" s="9"/>
      <c r="AA854" s="9"/>
      <c r="AB854" s="9"/>
      <c r="AC854" s="9"/>
      <c r="AD854" s="9"/>
    </row>
    <row r="855" spans="1:30" ht="14.25" customHeight="1">
      <c r="A855" s="11"/>
      <c r="B855" s="12"/>
      <c r="C855" s="12"/>
      <c r="D855" s="12"/>
      <c r="E855" s="12"/>
      <c r="F855" s="12"/>
      <c r="G855" s="12"/>
      <c r="H855" s="12"/>
      <c r="I855" s="12"/>
      <c r="J855" s="12"/>
      <c r="K855" s="13"/>
      <c r="L855" s="9"/>
      <c r="M855" s="9"/>
      <c r="N855" s="9"/>
      <c r="O855" s="9"/>
      <c r="P855" s="9"/>
      <c r="Q855" s="9"/>
      <c r="R855" s="9"/>
      <c r="S855" s="9"/>
      <c r="T855" s="9"/>
      <c r="U855" s="9"/>
      <c r="V855" s="9"/>
      <c r="W855" s="9"/>
      <c r="X855" s="9"/>
      <c r="Y855" s="9"/>
      <c r="Z855" s="9"/>
      <c r="AA855" s="9"/>
      <c r="AB855" s="9"/>
      <c r="AC855" s="9"/>
      <c r="AD855" s="9"/>
    </row>
    <row r="856" spans="1:30" ht="14.25" customHeight="1">
      <c r="A856" s="11"/>
      <c r="B856" s="12"/>
      <c r="C856" s="12"/>
      <c r="D856" s="12"/>
      <c r="E856" s="12"/>
      <c r="F856" s="12"/>
      <c r="G856" s="12"/>
      <c r="H856" s="12"/>
      <c r="I856" s="12"/>
      <c r="J856" s="12"/>
      <c r="K856" s="13"/>
      <c r="L856" s="9"/>
      <c r="M856" s="9"/>
      <c r="N856" s="9"/>
      <c r="O856" s="9"/>
      <c r="P856" s="9"/>
      <c r="Q856" s="9"/>
      <c r="R856" s="9"/>
      <c r="S856" s="9"/>
      <c r="T856" s="9"/>
      <c r="U856" s="9"/>
      <c r="V856" s="9"/>
      <c r="W856" s="9"/>
      <c r="X856" s="9"/>
      <c r="Y856" s="9"/>
      <c r="Z856" s="9"/>
      <c r="AA856" s="9"/>
      <c r="AB856" s="9"/>
      <c r="AC856" s="9"/>
      <c r="AD856" s="9"/>
    </row>
    <row r="857" spans="1:30" ht="14.25" customHeight="1">
      <c r="A857" s="11"/>
      <c r="B857" s="12"/>
      <c r="C857" s="12"/>
      <c r="D857" s="12"/>
      <c r="E857" s="12"/>
      <c r="F857" s="12"/>
      <c r="G857" s="12"/>
      <c r="H857" s="12"/>
      <c r="I857" s="12"/>
      <c r="J857" s="12"/>
      <c r="K857" s="13"/>
      <c r="L857" s="9"/>
      <c r="M857" s="9"/>
      <c r="N857" s="9"/>
      <c r="O857" s="9"/>
      <c r="P857" s="9"/>
      <c r="Q857" s="9"/>
      <c r="R857" s="9"/>
      <c r="S857" s="9"/>
      <c r="T857" s="9"/>
      <c r="U857" s="9"/>
      <c r="V857" s="9"/>
      <c r="W857" s="9"/>
      <c r="X857" s="9"/>
      <c r="Y857" s="9"/>
      <c r="Z857" s="9"/>
      <c r="AA857" s="9"/>
      <c r="AB857" s="9"/>
      <c r="AC857" s="9"/>
      <c r="AD857" s="9"/>
    </row>
    <row r="858" spans="1:30" ht="14.25" customHeight="1">
      <c r="A858" s="11"/>
      <c r="B858" s="12"/>
      <c r="C858" s="12"/>
      <c r="D858" s="12"/>
      <c r="E858" s="12"/>
      <c r="F858" s="12"/>
      <c r="G858" s="12"/>
      <c r="H858" s="12"/>
      <c r="I858" s="12"/>
      <c r="J858" s="12"/>
      <c r="K858" s="13"/>
      <c r="L858" s="9"/>
      <c r="M858" s="9"/>
      <c r="N858" s="9"/>
      <c r="O858" s="9"/>
      <c r="P858" s="9"/>
      <c r="Q858" s="9"/>
      <c r="R858" s="9"/>
      <c r="S858" s="9"/>
      <c r="T858" s="9"/>
      <c r="U858" s="9"/>
      <c r="V858" s="9"/>
      <c r="W858" s="9"/>
      <c r="X858" s="9"/>
      <c r="Y858" s="9"/>
      <c r="Z858" s="9"/>
      <c r="AA858" s="9"/>
      <c r="AB858" s="9"/>
      <c r="AC858" s="9"/>
      <c r="AD858" s="9"/>
    </row>
    <row r="859" spans="1:30" ht="14.25" customHeight="1">
      <c r="A859" s="11"/>
      <c r="B859" s="12"/>
      <c r="C859" s="12"/>
      <c r="D859" s="12"/>
      <c r="E859" s="12"/>
      <c r="F859" s="12"/>
      <c r="G859" s="12"/>
      <c r="H859" s="12"/>
      <c r="I859" s="12"/>
      <c r="J859" s="12"/>
      <c r="K859" s="13"/>
      <c r="L859" s="9"/>
      <c r="M859" s="9"/>
      <c r="N859" s="9"/>
      <c r="O859" s="9"/>
      <c r="P859" s="9"/>
      <c r="Q859" s="9"/>
      <c r="R859" s="9"/>
      <c r="S859" s="9"/>
      <c r="T859" s="9"/>
      <c r="U859" s="9"/>
      <c r="V859" s="9"/>
      <c r="W859" s="9"/>
      <c r="X859" s="9"/>
      <c r="Y859" s="9"/>
      <c r="Z859" s="9"/>
      <c r="AA859" s="9"/>
      <c r="AB859" s="9"/>
      <c r="AC859" s="9"/>
      <c r="AD859" s="9"/>
    </row>
    <row r="860" spans="1:30" ht="14.25" customHeight="1">
      <c r="A860" s="11"/>
      <c r="B860" s="12"/>
      <c r="C860" s="12"/>
      <c r="D860" s="12"/>
      <c r="E860" s="12"/>
      <c r="F860" s="12"/>
      <c r="G860" s="12"/>
      <c r="H860" s="12"/>
      <c r="I860" s="12"/>
      <c r="J860" s="12"/>
      <c r="K860" s="13"/>
      <c r="L860" s="9"/>
      <c r="M860" s="9"/>
      <c r="N860" s="9"/>
      <c r="O860" s="9"/>
      <c r="P860" s="9"/>
      <c r="Q860" s="9"/>
      <c r="R860" s="9"/>
      <c r="S860" s="9"/>
      <c r="T860" s="9"/>
      <c r="U860" s="9"/>
      <c r="V860" s="9"/>
      <c r="W860" s="9"/>
      <c r="X860" s="9"/>
      <c r="Y860" s="9"/>
      <c r="Z860" s="9"/>
      <c r="AA860" s="9"/>
      <c r="AB860" s="9"/>
      <c r="AC860" s="9"/>
      <c r="AD860" s="9"/>
    </row>
    <row r="861" spans="1:30" ht="14.25" customHeight="1">
      <c r="A861" s="11"/>
      <c r="B861" s="12"/>
      <c r="C861" s="12"/>
      <c r="D861" s="12"/>
      <c r="E861" s="12"/>
      <c r="F861" s="12"/>
      <c r="G861" s="12"/>
      <c r="H861" s="12"/>
      <c r="I861" s="12"/>
      <c r="J861" s="12"/>
      <c r="K861" s="13"/>
      <c r="L861" s="9"/>
      <c r="M861" s="9"/>
      <c r="N861" s="9"/>
      <c r="O861" s="9"/>
      <c r="P861" s="9"/>
      <c r="Q861" s="9"/>
      <c r="R861" s="9"/>
      <c r="S861" s="9"/>
      <c r="T861" s="9"/>
      <c r="U861" s="9"/>
      <c r="V861" s="9"/>
      <c r="W861" s="9"/>
      <c r="X861" s="9"/>
      <c r="Y861" s="9"/>
      <c r="Z861" s="9"/>
      <c r="AA861" s="9"/>
      <c r="AB861" s="9"/>
      <c r="AC861" s="9"/>
      <c r="AD861" s="9"/>
    </row>
    <row r="862" spans="1:30" ht="14.25" customHeight="1">
      <c r="A862" s="11"/>
      <c r="B862" s="12"/>
      <c r="C862" s="12"/>
      <c r="D862" s="12"/>
      <c r="E862" s="12"/>
      <c r="F862" s="12"/>
      <c r="G862" s="12"/>
      <c r="H862" s="12"/>
      <c r="I862" s="12"/>
      <c r="J862" s="12"/>
      <c r="K862" s="13"/>
      <c r="L862" s="9"/>
      <c r="M862" s="9"/>
      <c r="N862" s="9"/>
      <c r="O862" s="9"/>
      <c r="P862" s="9"/>
      <c r="Q862" s="9"/>
      <c r="R862" s="9"/>
      <c r="S862" s="9"/>
      <c r="T862" s="9"/>
      <c r="U862" s="9"/>
      <c r="V862" s="9"/>
      <c r="W862" s="9"/>
      <c r="X862" s="9"/>
      <c r="Y862" s="9"/>
      <c r="Z862" s="9"/>
      <c r="AA862" s="9"/>
      <c r="AB862" s="9"/>
      <c r="AC862" s="9"/>
      <c r="AD862" s="9"/>
    </row>
    <row r="863" spans="1:30" ht="14.25" customHeight="1">
      <c r="A863" s="11"/>
      <c r="B863" s="12"/>
      <c r="C863" s="12"/>
      <c r="D863" s="12"/>
      <c r="E863" s="12"/>
      <c r="F863" s="12"/>
      <c r="G863" s="12"/>
      <c r="H863" s="12"/>
      <c r="I863" s="12"/>
      <c r="J863" s="12"/>
      <c r="K863" s="13"/>
      <c r="L863" s="9"/>
      <c r="M863" s="9"/>
      <c r="N863" s="9"/>
      <c r="O863" s="9"/>
      <c r="P863" s="9"/>
      <c r="Q863" s="9"/>
      <c r="R863" s="9"/>
      <c r="S863" s="9"/>
      <c r="T863" s="9"/>
      <c r="U863" s="9"/>
      <c r="V863" s="9"/>
      <c r="W863" s="9"/>
      <c r="X863" s="9"/>
      <c r="Y863" s="9"/>
      <c r="Z863" s="9"/>
      <c r="AA863" s="9"/>
      <c r="AB863" s="9"/>
      <c r="AC863" s="9"/>
      <c r="AD863" s="9"/>
    </row>
    <row r="864" spans="1:30" ht="14.25" customHeight="1">
      <c r="A864" s="11"/>
      <c r="B864" s="12"/>
      <c r="C864" s="12"/>
      <c r="D864" s="12"/>
      <c r="E864" s="12"/>
      <c r="F864" s="12"/>
      <c r="G864" s="12"/>
      <c r="H864" s="12"/>
      <c r="I864" s="12"/>
      <c r="J864" s="12"/>
      <c r="K864" s="13"/>
      <c r="L864" s="9"/>
      <c r="M864" s="9"/>
      <c r="N864" s="9"/>
      <c r="O864" s="9"/>
      <c r="P864" s="9"/>
      <c r="Q864" s="9"/>
      <c r="R864" s="9"/>
      <c r="S864" s="9"/>
      <c r="T864" s="9"/>
      <c r="U864" s="9"/>
      <c r="V864" s="9"/>
      <c r="W864" s="9"/>
      <c r="X864" s="9"/>
      <c r="Y864" s="9"/>
      <c r="Z864" s="9"/>
      <c r="AA864" s="9"/>
      <c r="AB864" s="9"/>
      <c r="AC864" s="9"/>
      <c r="AD864" s="9"/>
    </row>
    <row r="865" spans="1:30" ht="14.25" customHeight="1">
      <c r="A865" s="11"/>
      <c r="B865" s="12"/>
      <c r="C865" s="12"/>
      <c r="D865" s="12"/>
      <c r="E865" s="12"/>
      <c r="F865" s="12"/>
      <c r="G865" s="12"/>
      <c r="H865" s="12"/>
      <c r="I865" s="12"/>
      <c r="J865" s="12"/>
      <c r="K865" s="13"/>
      <c r="L865" s="9"/>
      <c r="M865" s="9"/>
      <c r="N865" s="9"/>
      <c r="O865" s="9"/>
      <c r="P865" s="9"/>
      <c r="Q865" s="9"/>
      <c r="R865" s="9"/>
      <c r="S865" s="9"/>
      <c r="T865" s="9"/>
      <c r="U865" s="9"/>
      <c r="V865" s="9"/>
      <c r="W865" s="9"/>
      <c r="X865" s="9"/>
      <c r="Y865" s="9"/>
      <c r="Z865" s="9"/>
      <c r="AA865" s="9"/>
      <c r="AB865" s="9"/>
      <c r="AC865" s="9"/>
      <c r="AD865" s="9"/>
    </row>
    <row r="866" spans="1:30" ht="14.25" customHeight="1">
      <c r="A866" s="11"/>
      <c r="B866" s="12"/>
      <c r="C866" s="12"/>
      <c r="D866" s="12"/>
      <c r="E866" s="12"/>
      <c r="F866" s="12"/>
      <c r="G866" s="12"/>
      <c r="H866" s="12"/>
      <c r="I866" s="12"/>
      <c r="J866" s="12"/>
      <c r="K866" s="13"/>
      <c r="L866" s="9"/>
      <c r="M866" s="9"/>
      <c r="N866" s="9"/>
      <c r="O866" s="9"/>
      <c r="P866" s="9"/>
      <c r="Q866" s="9"/>
      <c r="R866" s="9"/>
      <c r="S866" s="9"/>
      <c r="T866" s="9"/>
      <c r="U866" s="9"/>
      <c r="V866" s="9"/>
      <c r="W866" s="9"/>
      <c r="X866" s="9"/>
      <c r="Y866" s="9"/>
      <c r="Z866" s="9"/>
      <c r="AA866" s="9"/>
      <c r="AB866" s="9"/>
      <c r="AC866" s="9"/>
      <c r="AD866" s="9"/>
    </row>
    <row r="867" spans="1:30" ht="14.25" customHeight="1">
      <c r="A867" s="11"/>
      <c r="B867" s="12"/>
      <c r="C867" s="12"/>
      <c r="D867" s="12"/>
      <c r="E867" s="12"/>
      <c r="F867" s="12"/>
      <c r="G867" s="12"/>
      <c r="H867" s="12"/>
      <c r="I867" s="12"/>
      <c r="J867" s="12"/>
      <c r="K867" s="13"/>
      <c r="L867" s="9"/>
      <c r="M867" s="9"/>
      <c r="N867" s="9"/>
      <c r="O867" s="9"/>
      <c r="P867" s="9"/>
      <c r="Q867" s="9"/>
      <c r="R867" s="9"/>
      <c r="S867" s="9"/>
      <c r="T867" s="9"/>
      <c r="U867" s="9"/>
      <c r="V867" s="9"/>
      <c r="W867" s="9"/>
      <c r="X867" s="9"/>
      <c r="Y867" s="9"/>
      <c r="Z867" s="9"/>
      <c r="AA867" s="9"/>
      <c r="AB867" s="9"/>
      <c r="AC867" s="9"/>
      <c r="AD867" s="9"/>
    </row>
    <row r="868" spans="1:30" ht="14.25" customHeight="1">
      <c r="A868" s="11"/>
      <c r="B868" s="12"/>
      <c r="C868" s="12"/>
      <c r="D868" s="12"/>
      <c r="E868" s="12"/>
      <c r="F868" s="12"/>
      <c r="G868" s="12"/>
      <c r="H868" s="12"/>
      <c r="I868" s="12"/>
      <c r="J868" s="12"/>
      <c r="K868" s="13"/>
      <c r="L868" s="9"/>
      <c r="M868" s="9"/>
      <c r="N868" s="9"/>
      <c r="O868" s="9"/>
      <c r="P868" s="9"/>
      <c r="Q868" s="9"/>
      <c r="R868" s="9"/>
      <c r="S868" s="9"/>
      <c r="T868" s="9"/>
      <c r="U868" s="9"/>
      <c r="V868" s="9"/>
      <c r="W868" s="9"/>
      <c r="X868" s="9"/>
      <c r="Y868" s="9"/>
      <c r="Z868" s="9"/>
      <c r="AA868" s="9"/>
      <c r="AB868" s="9"/>
      <c r="AC868" s="9"/>
      <c r="AD868" s="9"/>
    </row>
    <row r="869" spans="1:30" ht="14.25" customHeight="1">
      <c r="A869" s="11"/>
      <c r="B869" s="12"/>
      <c r="C869" s="12"/>
      <c r="D869" s="12"/>
      <c r="E869" s="12"/>
      <c r="F869" s="12"/>
      <c r="G869" s="12"/>
      <c r="H869" s="12"/>
      <c r="I869" s="12"/>
      <c r="J869" s="12"/>
      <c r="K869" s="13"/>
      <c r="L869" s="9"/>
      <c r="M869" s="9"/>
      <c r="N869" s="9"/>
      <c r="O869" s="9"/>
      <c r="P869" s="9"/>
      <c r="Q869" s="9"/>
      <c r="R869" s="9"/>
      <c r="S869" s="9"/>
      <c r="T869" s="9"/>
      <c r="U869" s="9"/>
      <c r="V869" s="9"/>
      <c r="W869" s="9"/>
      <c r="X869" s="9"/>
      <c r="Y869" s="9"/>
      <c r="Z869" s="9"/>
      <c r="AA869" s="9"/>
      <c r="AB869" s="9"/>
      <c r="AC869" s="9"/>
      <c r="AD869" s="9"/>
    </row>
    <row r="870" spans="1:30" ht="14.25" customHeight="1">
      <c r="A870" s="11"/>
      <c r="B870" s="12"/>
      <c r="C870" s="12"/>
      <c r="D870" s="12"/>
      <c r="E870" s="12"/>
      <c r="F870" s="12"/>
      <c r="G870" s="12"/>
      <c r="H870" s="12"/>
      <c r="I870" s="12"/>
      <c r="J870" s="12"/>
      <c r="K870" s="13"/>
      <c r="L870" s="9"/>
      <c r="M870" s="9"/>
      <c r="N870" s="9"/>
      <c r="O870" s="9"/>
      <c r="P870" s="9"/>
      <c r="Q870" s="9"/>
      <c r="R870" s="9"/>
      <c r="S870" s="9"/>
      <c r="T870" s="9"/>
      <c r="U870" s="9"/>
      <c r="V870" s="9"/>
      <c r="W870" s="9"/>
      <c r="X870" s="9"/>
      <c r="Y870" s="9"/>
      <c r="Z870" s="9"/>
      <c r="AA870" s="9"/>
      <c r="AB870" s="9"/>
      <c r="AC870" s="9"/>
      <c r="AD870" s="9"/>
    </row>
    <row r="871" spans="1:30" ht="14.25" customHeight="1">
      <c r="A871" s="11"/>
      <c r="B871" s="12"/>
      <c r="C871" s="12"/>
      <c r="D871" s="12"/>
      <c r="E871" s="12"/>
      <c r="F871" s="12"/>
      <c r="G871" s="12"/>
      <c r="H871" s="12"/>
      <c r="I871" s="12"/>
      <c r="J871" s="12"/>
      <c r="K871" s="13"/>
      <c r="L871" s="9"/>
      <c r="M871" s="9"/>
      <c r="N871" s="9"/>
      <c r="O871" s="9"/>
      <c r="P871" s="9"/>
      <c r="Q871" s="9"/>
      <c r="R871" s="9"/>
      <c r="S871" s="9"/>
      <c r="T871" s="9"/>
      <c r="U871" s="9"/>
      <c r="V871" s="9"/>
      <c r="W871" s="9"/>
      <c r="X871" s="9"/>
      <c r="Y871" s="9"/>
      <c r="Z871" s="9"/>
      <c r="AA871" s="9"/>
      <c r="AB871" s="9"/>
      <c r="AC871" s="9"/>
      <c r="AD871" s="9"/>
    </row>
    <row r="872" spans="1:30" ht="14.25" customHeight="1">
      <c r="A872" s="11"/>
      <c r="B872" s="12"/>
      <c r="C872" s="12"/>
      <c r="D872" s="12"/>
      <c r="E872" s="12"/>
      <c r="F872" s="12"/>
      <c r="G872" s="12"/>
      <c r="H872" s="12"/>
      <c r="I872" s="12"/>
      <c r="J872" s="12"/>
      <c r="K872" s="13"/>
      <c r="L872" s="9"/>
      <c r="M872" s="9"/>
      <c r="N872" s="9"/>
      <c r="O872" s="9"/>
      <c r="P872" s="9"/>
      <c r="Q872" s="9"/>
      <c r="R872" s="9"/>
      <c r="S872" s="9"/>
      <c r="T872" s="9"/>
      <c r="U872" s="9"/>
      <c r="V872" s="9"/>
      <c r="W872" s="9"/>
      <c r="X872" s="9"/>
      <c r="Y872" s="9"/>
      <c r="Z872" s="9"/>
      <c r="AA872" s="9"/>
      <c r="AB872" s="9"/>
      <c r="AC872" s="9"/>
      <c r="AD872" s="9"/>
    </row>
    <row r="873" spans="1:30" ht="14.25" customHeight="1">
      <c r="A873" s="11"/>
      <c r="B873" s="12"/>
      <c r="C873" s="12"/>
      <c r="D873" s="12"/>
      <c r="E873" s="12"/>
      <c r="F873" s="12"/>
      <c r="G873" s="12"/>
      <c r="H873" s="12"/>
      <c r="I873" s="12"/>
      <c r="J873" s="12"/>
      <c r="K873" s="13"/>
      <c r="L873" s="9"/>
      <c r="M873" s="9"/>
      <c r="N873" s="9"/>
      <c r="O873" s="9"/>
      <c r="P873" s="9"/>
      <c r="Q873" s="9"/>
      <c r="R873" s="9"/>
      <c r="S873" s="9"/>
      <c r="T873" s="9"/>
      <c r="U873" s="9"/>
      <c r="V873" s="9"/>
      <c r="W873" s="9"/>
      <c r="X873" s="9"/>
      <c r="Y873" s="9"/>
      <c r="Z873" s="9"/>
      <c r="AA873" s="9"/>
      <c r="AB873" s="9"/>
      <c r="AC873" s="9"/>
      <c r="AD873" s="9"/>
    </row>
    <row r="874" spans="1:30" ht="14.25" customHeight="1">
      <c r="A874" s="11"/>
      <c r="B874" s="12"/>
      <c r="C874" s="12"/>
      <c r="D874" s="12"/>
      <c r="E874" s="12"/>
      <c r="F874" s="12"/>
      <c r="G874" s="12"/>
      <c r="H874" s="12"/>
      <c r="I874" s="12"/>
      <c r="J874" s="12"/>
      <c r="K874" s="13"/>
      <c r="L874" s="9"/>
      <c r="M874" s="9"/>
      <c r="N874" s="9"/>
      <c r="O874" s="9"/>
      <c r="P874" s="9"/>
      <c r="Q874" s="9"/>
      <c r="R874" s="9"/>
      <c r="S874" s="9"/>
      <c r="T874" s="9"/>
      <c r="U874" s="9"/>
      <c r="V874" s="9"/>
      <c r="W874" s="9"/>
      <c r="X874" s="9"/>
      <c r="Y874" s="9"/>
      <c r="Z874" s="9"/>
      <c r="AA874" s="9"/>
      <c r="AB874" s="9"/>
      <c r="AC874" s="9"/>
      <c r="AD874" s="9"/>
    </row>
    <row r="875" spans="1:30" ht="14.25" customHeight="1">
      <c r="A875" s="11"/>
      <c r="B875" s="12"/>
      <c r="C875" s="12"/>
      <c r="D875" s="12"/>
      <c r="E875" s="12"/>
      <c r="F875" s="12"/>
      <c r="G875" s="12"/>
      <c r="H875" s="12"/>
      <c r="I875" s="12"/>
      <c r="J875" s="12"/>
      <c r="K875" s="13"/>
      <c r="L875" s="9"/>
      <c r="M875" s="9"/>
      <c r="N875" s="9"/>
      <c r="O875" s="9"/>
      <c r="P875" s="9"/>
      <c r="Q875" s="9"/>
      <c r="R875" s="9"/>
      <c r="S875" s="9"/>
      <c r="T875" s="9"/>
      <c r="U875" s="9"/>
      <c r="V875" s="9"/>
      <c r="W875" s="9"/>
      <c r="X875" s="9"/>
      <c r="Y875" s="9"/>
      <c r="Z875" s="9"/>
      <c r="AA875" s="9"/>
      <c r="AB875" s="9"/>
      <c r="AC875" s="9"/>
      <c r="AD875" s="9"/>
    </row>
    <row r="876" spans="1:30" ht="14.25" customHeight="1">
      <c r="A876" s="11"/>
      <c r="B876" s="12"/>
      <c r="C876" s="12"/>
      <c r="D876" s="12"/>
      <c r="E876" s="12"/>
      <c r="F876" s="12"/>
      <c r="G876" s="12"/>
      <c r="H876" s="12"/>
      <c r="I876" s="12"/>
      <c r="J876" s="12"/>
      <c r="K876" s="13"/>
      <c r="L876" s="9"/>
      <c r="M876" s="9"/>
      <c r="N876" s="9"/>
      <c r="O876" s="9"/>
      <c r="P876" s="9"/>
      <c r="Q876" s="9"/>
      <c r="R876" s="9"/>
      <c r="S876" s="9"/>
      <c r="T876" s="9"/>
      <c r="U876" s="9"/>
      <c r="V876" s="9"/>
      <c r="W876" s="9"/>
      <c r="X876" s="9"/>
      <c r="Y876" s="9"/>
      <c r="Z876" s="9"/>
      <c r="AA876" s="9"/>
      <c r="AB876" s="9"/>
      <c r="AC876" s="9"/>
      <c r="AD876" s="9"/>
    </row>
    <row r="877" spans="1:30" ht="14.25" customHeight="1">
      <c r="A877" s="11"/>
      <c r="B877" s="12"/>
      <c r="C877" s="12"/>
      <c r="D877" s="12"/>
      <c r="E877" s="12"/>
      <c r="F877" s="12"/>
      <c r="G877" s="12"/>
      <c r="H877" s="12"/>
      <c r="I877" s="12"/>
      <c r="J877" s="12"/>
      <c r="K877" s="13"/>
      <c r="L877" s="9"/>
      <c r="M877" s="9"/>
      <c r="N877" s="9"/>
      <c r="O877" s="9"/>
      <c r="P877" s="9"/>
      <c r="Q877" s="9"/>
      <c r="R877" s="9"/>
      <c r="S877" s="9"/>
      <c r="T877" s="9"/>
      <c r="U877" s="9"/>
      <c r="V877" s="9"/>
      <c r="W877" s="9"/>
      <c r="X877" s="9"/>
      <c r="Y877" s="9"/>
      <c r="Z877" s="9"/>
      <c r="AA877" s="9"/>
      <c r="AB877" s="9"/>
      <c r="AC877" s="9"/>
      <c r="AD877" s="9"/>
    </row>
    <row r="878" spans="1:30" ht="14.25" customHeight="1">
      <c r="A878" s="11"/>
      <c r="B878" s="12"/>
      <c r="C878" s="12"/>
      <c r="D878" s="12"/>
      <c r="E878" s="12"/>
      <c r="F878" s="12"/>
      <c r="G878" s="12"/>
      <c r="H878" s="12"/>
      <c r="I878" s="12"/>
      <c r="J878" s="12"/>
      <c r="K878" s="13"/>
      <c r="L878" s="9"/>
      <c r="M878" s="9"/>
      <c r="N878" s="9"/>
      <c r="O878" s="9"/>
      <c r="P878" s="9"/>
      <c r="Q878" s="9"/>
      <c r="R878" s="9"/>
      <c r="S878" s="9"/>
      <c r="T878" s="9"/>
      <c r="U878" s="9"/>
      <c r="V878" s="9"/>
      <c r="W878" s="9"/>
      <c r="X878" s="9"/>
      <c r="Y878" s="9"/>
      <c r="Z878" s="9"/>
      <c r="AA878" s="9"/>
      <c r="AB878" s="9"/>
      <c r="AC878" s="9"/>
      <c r="AD878" s="9"/>
    </row>
    <row r="879" spans="1:30" ht="14.25" customHeight="1">
      <c r="A879" s="11"/>
      <c r="B879" s="12"/>
      <c r="C879" s="12"/>
      <c r="D879" s="12"/>
      <c r="E879" s="12"/>
      <c r="F879" s="12"/>
      <c r="G879" s="12"/>
      <c r="H879" s="12"/>
      <c r="I879" s="12"/>
      <c r="J879" s="12"/>
      <c r="K879" s="13"/>
      <c r="L879" s="9"/>
      <c r="M879" s="9"/>
      <c r="N879" s="9"/>
      <c r="O879" s="9"/>
      <c r="P879" s="9"/>
      <c r="Q879" s="9"/>
      <c r="R879" s="9"/>
      <c r="S879" s="9"/>
      <c r="T879" s="9"/>
      <c r="U879" s="9"/>
      <c r="V879" s="9"/>
      <c r="W879" s="9"/>
      <c r="X879" s="9"/>
      <c r="Y879" s="9"/>
      <c r="Z879" s="9"/>
      <c r="AA879" s="9"/>
      <c r="AB879" s="9"/>
      <c r="AC879" s="9"/>
      <c r="AD879" s="9"/>
    </row>
    <row r="880" spans="1:30" ht="14.25" customHeight="1">
      <c r="A880" s="11"/>
      <c r="B880" s="12"/>
      <c r="C880" s="12"/>
      <c r="D880" s="12"/>
      <c r="E880" s="12"/>
      <c r="F880" s="12"/>
      <c r="G880" s="12"/>
      <c r="H880" s="12"/>
      <c r="I880" s="12"/>
      <c r="J880" s="12"/>
      <c r="K880" s="13"/>
      <c r="L880" s="9"/>
      <c r="M880" s="9"/>
      <c r="N880" s="9"/>
      <c r="O880" s="9"/>
      <c r="P880" s="9"/>
      <c r="Q880" s="9"/>
      <c r="R880" s="9"/>
      <c r="S880" s="9"/>
      <c r="T880" s="9"/>
      <c r="U880" s="9"/>
      <c r="V880" s="9"/>
      <c r="W880" s="9"/>
      <c r="X880" s="9"/>
      <c r="Y880" s="9"/>
      <c r="Z880" s="9"/>
      <c r="AA880" s="9"/>
      <c r="AB880" s="9"/>
      <c r="AC880" s="9"/>
      <c r="AD880" s="9"/>
    </row>
    <row r="881" spans="1:30" ht="14.25" customHeight="1">
      <c r="A881" s="11"/>
      <c r="B881" s="12"/>
      <c r="C881" s="12"/>
      <c r="D881" s="12"/>
      <c r="E881" s="12"/>
      <c r="F881" s="12"/>
      <c r="G881" s="12"/>
      <c r="H881" s="12"/>
      <c r="I881" s="12"/>
      <c r="J881" s="12"/>
      <c r="K881" s="13"/>
      <c r="L881" s="9"/>
      <c r="M881" s="9"/>
      <c r="N881" s="9"/>
      <c r="O881" s="9"/>
      <c r="P881" s="9"/>
      <c r="Q881" s="9"/>
      <c r="R881" s="9"/>
      <c r="S881" s="9"/>
      <c r="T881" s="9"/>
      <c r="U881" s="9"/>
      <c r="V881" s="9"/>
      <c r="W881" s="9"/>
      <c r="X881" s="9"/>
      <c r="Y881" s="9"/>
      <c r="Z881" s="9"/>
      <c r="AA881" s="9"/>
      <c r="AB881" s="9"/>
      <c r="AC881" s="9"/>
      <c r="AD881" s="9"/>
    </row>
    <row r="882" spans="1:30" ht="14.25" customHeight="1">
      <c r="A882" s="11"/>
      <c r="B882" s="12"/>
      <c r="C882" s="12"/>
      <c r="D882" s="12"/>
      <c r="E882" s="12"/>
      <c r="F882" s="12"/>
      <c r="G882" s="12"/>
      <c r="H882" s="12"/>
      <c r="I882" s="12"/>
      <c r="J882" s="12"/>
      <c r="K882" s="13"/>
      <c r="L882" s="9"/>
      <c r="M882" s="9"/>
      <c r="N882" s="9"/>
      <c r="O882" s="9"/>
      <c r="P882" s="9"/>
      <c r="Q882" s="9"/>
      <c r="R882" s="9"/>
      <c r="S882" s="9"/>
      <c r="T882" s="9"/>
      <c r="U882" s="9"/>
      <c r="V882" s="9"/>
      <c r="W882" s="9"/>
      <c r="X882" s="9"/>
      <c r="Y882" s="9"/>
      <c r="Z882" s="9"/>
      <c r="AA882" s="9"/>
      <c r="AB882" s="9"/>
      <c r="AC882" s="9"/>
      <c r="AD882" s="9"/>
    </row>
    <row r="883" spans="1:30" ht="14.25" customHeight="1">
      <c r="A883" s="11"/>
      <c r="B883" s="12"/>
      <c r="C883" s="12"/>
      <c r="D883" s="12"/>
      <c r="E883" s="12"/>
      <c r="F883" s="12"/>
      <c r="G883" s="12"/>
      <c r="H883" s="12"/>
      <c r="I883" s="12"/>
      <c r="J883" s="12"/>
      <c r="K883" s="13"/>
      <c r="L883" s="9"/>
      <c r="M883" s="9"/>
      <c r="N883" s="9"/>
      <c r="O883" s="9"/>
      <c r="P883" s="9"/>
      <c r="Q883" s="9"/>
      <c r="R883" s="9"/>
      <c r="S883" s="9"/>
      <c r="T883" s="9"/>
      <c r="U883" s="9"/>
      <c r="V883" s="9"/>
      <c r="W883" s="9"/>
      <c r="X883" s="9"/>
      <c r="Y883" s="9"/>
      <c r="Z883" s="9"/>
      <c r="AA883" s="9"/>
      <c r="AB883" s="9"/>
      <c r="AC883" s="9"/>
      <c r="AD883" s="9"/>
    </row>
    <row r="884" spans="1:30" ht="14.25" customHeight="1">
      <c r="A884" s="11"/>
      <c r="B884" s="12"/>
      <c r="C884" s="12"/>
      <c r="D884" s="12"/>
      <c r="E884" s="12"/>
      <c r="F884" s="12"/>
      <c r="G884" s="12"/>
      <c r="H884" s="12"/>
      <c r="I884" s="12"/>
      <c r="J884" s="12"/>
      <c r="K884" s="13"/>
      <c r="L884" s="9"/>
      <c r="M884" s="9"/>
      <c r="N884" s="9"/>
      <c r="O884" s="9"/>
      <c r="P884" s="9"/>
      <c r="Q884" s="9"/>
      <c r="R884" s="9"/>
      <c r="S884" s="9"/>
      <c r="T884" s="9"/>
      <c r="U884" s="9"/>
      <c r="V884" s="9"/>
      <c r="W884" s="9"/>
      <c r="X884" s="9"/>
      <c r="Y884" s="9"/>
      <c r="Z884" s="9"/>
      <c r="AA884" s="9"/>
      <c r="AB884" s="9"/>
      <c r="AC884" s="9"/>
      <c r="AD884" s="9"/>
    </row>
    <row r="885" spans="1:30" ht="14.25" customHeight="1">
      <c r="A885" s="11"/>
      <c r="B885" s="12"/>
      <c r="C885" s="12"/>
      <c r="D885" s="12"/>
      <c r="E885" s="12"/>
      <c r="F885" s="12"/>
      <c r="G885" s="12"/>
      <c r="H885" s="12"/>
      <c r="I885" s="12"/>
      <c r="J885" s="12"/>
      <c r="K885" s="13"/>
      <c r="L885" s="9"/>
      <c r="M885" s="9"/>
      <c r="N885" s="9"/>
      <c r="O885" s="9"/>
      <c r="P885" s="9"/>
      <c r="Q885" s="9"/>
      <c r="R885" s="9"/>
      <c r="S885" s="9"/>
      <c r="T885" s="9"/>
      <c r="U885" s="9"/>
      <c r="V885" s="9"/>
      <c r="W885" s="9"/>
      <c r="X885" s="9"/>
      <c r="Y885" s="9"/>
      <c r="Z885" s="9"/>
      <c r="AA885" s="9"/>
      <c r="AB885" s="9"/>
      <c r="AC885" s="9"/>
      <c r="AD885" s="9"/>
    </row>
    <row r="886" spans="1:30" ht="14.25" customHeight="1">
      <c r="A886" s="11"/>
      <c r="B886" s="12"/>
      <c r="C886" s="12"/>
      <c r="D886" s="12"/>
      <c r="E886" s="12"/>
      <c r="F886" s="12"/>
      <c r="G886" s="12"/>
      <c r="H886" s="12"/>
      <c r="I886" s="12"/>
      <c r="J886" s="12"/>
      <c r="K886" s="13"/>
      <c r="L886" s="9"/>
      <c r="M886" s="9"/>
      <c r="N886" s="9"/>
      <c r="O886" s="9"/>
      <c r="P886" s="9"/>
      <c r="Q886" s="9"/>
      <c r="R886" s="9"/>
      <c r="S886" s="9"/>
      <c r="T886" s="9"/>
      <c r="U886" s="9"/>
      <c r="V886" s="9"/>
      <c r="W886" s="9"/>
      <c r="X886" s="9"/>
      <c r="Y886" s="9"/>
      <c r="Z886" s="9"/>
      <c r="AA886" s="9"/>
      <c r="AB886" s="9"/>
      <c r="AC886" s="9"/>
      <c r="AD886" s="9"/>
    </row>
    <row r="887" spans="1:30" ht="14.25" customHeight="1">
      <c r="A887" s="11"/>
      <c r="B887" s="12"/>
      <c r="C887" s="12"/>
      <c r="D887" s="12"/>
      <c r="E887" s="12"/>
      <c r="F887" s="12"/>
      <c r="G887" s="12"/>
      <c r="H887" s="12"/>
      <c r="I887" s="12"/>
      <c r="J887" s="12"/>
      <c r="K887" s="13"/>
      <c r="L887" s="9"/>
      <c r="M887" s="9"/>
      <c r="N887" s="9"/>
      <c r="O887" s="9"/>
      <c r="P887" s="9"/>
      <c r="Q887" s="9"/>
      <c r="R887" s="9"/>
      <c r="S887" s="9"/>
      <c r="T887" s="9"/>
      <c r="U887" s="9"/>
      <c r="V887" s="9"/>
      <c r="W887" s="9"/>
      <c r="X887" s="9"/>
      <c r="Y887" s="9"/>
      <c r="Z887" s="9"/>
      <c r="AA887" s="9"/>
      <c r="AB887" s="9"/>
      <c r="AC887" s="9"/>
      <c r="AD887" s="9"/>
    </row>
    <row r="888" spans="1:30" ht="14.25" customHeight="1">
      <c r="A888" s="11"/>
      <c r="B888" s="12"/>
      <c r="C888" s="12"/>
      <c r="D888" s="12"/>
      <c r="E888" s="12"/>
      <c r="F888" s="12"/>
      <c r="G888" s="12"/>
      <c r="H888" s="12"/>
      <c r="I888" s="12"/>
      <c r="J888" s="12"/>
      <c r="K888" s="13"/>
      <c r="L888" s="9"/>
      <c r="M888" s="9"/>
      <c r="N888" s="9"/>
      <c r="O888" s="9"/>
      <c r="P888" s="9"/>
      <c r="Q888" s="9"/>
      <c r="R888" s="9"/>
      <c r="S888" s="9"/>
      <c r="T888" s="9"/>
      <c r="U888" s="9"/>
      <c r="V888" s="9"/>
      <c r="W888" s="9"/>
      <c r="X888" s="9"/>
      <c r="Y888" s="9"/>
      <c r="Z888" s="9"/>
      <c r="AA888" s="9"/>
      <c r="AB888" s="9"/>
      <c r="AC888" s="9"/>
      <c r="AD888" s="9"/>
    </row>
    <row r="889" spans="1:30" ht="14.25" customHeight="1">
      <c r="A889" s="11"/>
      <c r="B889" s="12"/>
      <c r="C889" s="12"/>
      <c r="D889" s="12"/>
      <c r="E889" s="12"/>
      <c r="F889" s="12"/>
      <c r="G889" s="12"/>
      <c r="H889" s="12"/>
      <c r="I889" s="12"/>
      <c r="J889" s="12"/>
      <c r="K889" s="13"/>
      <c r="L889" s="9"/>
      <c r="M889" s="9"/>
      <c r="N889" s="9"/>
      <c r="O889" s="9"/>
      <c r="P889" s="9"/>
      <c r="Q889" s="9"/>
      <c r="R889" s="9"/>
      <c r="S889" s="9"/>
      <c r="T889" s="9"/>
      <c r="U889" s="9"/>
      <c r="V889" s="9"/>
      <c r="W889" s="9"/>
      <c r="X889" s="9"/>
      <c r="Y889" s="9"/>
      <c r="Z889" s="9"/>
      <c r="AA889" s="9"/>
      <c r="AB889" s="9"/>
      <c r="AC889" s="9"/>
      <c r="AD889" s="9"/>
    </row>
    <row r="890" spans="1:30" ht="14.25" customHeight="1">
      <c r="A890" s="11"/>
      <c r="B890" s="12"/>
      <c r="C890" s="12"/>
      <c r="D890" s="12"/>
      <c r="E890" s="12"/>
      <c r="F890" s="12"/>
      <c r="G890" s="12"/>
      <c r="H890" s="12"/>
      <c r="I890" s="12"/>
      <c r="J890" s="12"/>
      <c r="K890" s="13"/>
      <c r="L890" s="9"/>
      <c r="M890" s="9"/>
      <c r="N890" s="9"/>
      <c r="O890" s="9"/>
      <c r="P890" s="9"/>
      <c r="Q890" s="9"/>
      <c r="R890" s="9"/>
      <c r="S890" s="9"/>
      <c r="T890" s="9"/>
      <c r="U890" s="9"/>
      <c r="V890" s="9"/>
      <c r="W890" s="9"/>
      <c r="X890" s="9"/>
      <c r="Y890" s="9"/>
      <c r="Z890" s="9"/>
      <c r="AA890" s="9"/>
      <c r="AB890" s="9"/>
      <c r="AC890" s="9"/>
      <c r="AD890" s="9"/>
    </row>
    <row r="891" spans="1:30" ht="14.25" customHeight="1">
      <c r="A891" s="11"/>
      <c r="B891" s="12"/>
      <c r="C891" s="12"/>
      <c r="D891" s="12"/>
      <c r="E891" s="12"/>
      <c r="F891" s="12"/>
      <c r="G891" s="12"/>
      <c r="H891" s="12"/>
      <c r="I891" s="12"/>
      <c r="J891" s="12"/>
      <c r="K891" s="13"/>
      <c r="L891" s="9"/>
      <c r="M891" s="9"/>
      <c r="N891" s="9"/>
      <c r="O891" s="9"/>
      <c r="P891" s="9"/>
      <c r="Q891" s="9"/>
      <c r="R891" s="9"/>
      <c r="S891" s="9"/>
      <c r="T891" s="9"/>
      <c r="U891" s="9"/>
      <c r="V891" s="9"/>
      <c r="W891" s="9"/>
      <c r="X891" s="9"/>
      <c r="Y891" s="9"/>
      <c r="Z891" s="9"/>
      <c r="AA891" s="9"/>
      <c r="AB891" s="9"/>
      <c r="AC891" s="9"/>
      <c r="AD891" s="9"/>
    </row>
    <row r="892" spans="1:30" ht="14.25" customHeight="1">
      <c r="A892" s="11"/>
      <c r="B892" s="12"/>
      <c r="C892" s="12"/>
      <c r="D892" s="12"/>
      <c r="E892" s="12"/>
      <c r="F892" s="12"/>
      <c r="G892" s="12"/>
      <c r="H892" s="12"/>
      <c r="I892" s="12"/>
      <c r="J892" s="12"/>
      <c r="K892" s="13"/>
      <c r="L892" s="9"/>
      <c r="M892" s="9"/>
      <c r="N892" s="9"/>
      <c r="O892" s="9"/>
      <c r="P892" s="9"/>
      <c r="Q892" s="9"/>
      <c r="R892" s="9"/>
      <c r="S892" s="9"/>
      <c r="T892" s="9"/>
      <c r="U892" s="9"/>
      <c r="V892" s="9"/>
      <c r="W892" s="9"/>
      <c r="X892" s="9"/>
      <c r="Y892" s="9"/>
      <c r="Z892" s="9"/>
      <c r="AA892" s="9"/>
      <c r="AB892" s="9"/>
      <c r="AC892" s="9"/>
      <c r="AD892" s="9"/>
    </row>
    <row r="893" spans="1:30" ht="14.25" customHeight="1">
      <c r="A893" s="11"/>
      <c r="B893" s="12"/>
      <c r="C893" s="12"/>
      <c r="D893" s="12"/>
      <c r="E893" s="12"/>
      <c r="F893" s="12"/>
      <c r="G893" s="12"/>
      <c r="H893" s="12"/>
      <c r="I893" s="12"/>
      <c r="J893" s="12"/>
      <c r="K893" s="13"/>
      <c r="L893" s="9"/>
      <c r="M893" s="9"/>
      <c r="N893" s="9"/>
      <c r="O893" s="9"/>
      <c r="P893" s="9"/>
      <c r="Q893" s="9"/>
      <c r="R893" s="9"/>
      <c r="S893" s="9"/>
      <c r="T893" s="9"/>
      <c r="U893" s="9"/>
      <c r="V893" s="9"/>
      <c r="W893" s="9"/>
      <c r="X893" s="9"/>
      <c r="Y893" s="9"/>
      <c r="Z893" s="9"/>
      <c r="AA893" s="9"/>
      <c r="AB893" s="9"/>
      <c r="AC893" s="9"/>
      <c r="AD893" s="9"/>
    </row>
    <row r="894" spans="1:30" ht="14.25" customHeight="1">
      <c r="A894" s="11"/>
      <c r="B894" s="12"/>
      <c r="C894" s="12"/>
      <c r="D894" s="12"/>
      <c r="E894" s="12"/>
      <c r="F894" s="12"/>
      <c r="G894" s="12"/>
      <c r="H894" s="12"/>
      <c r="I894" s="12"/>
      <c r="J894" s="12"/>
      <c r="K894" s="13"/>
      <c r="L894" s="9"/>
      <c r="M894" s="9"/>
      <c r="N894" s="9"/>
      <c r="O894" s="9"/>
      <c r="P894" s="9"/>
      <c r="Q894" s="9"/>
      <c r="R894" s="9"/>
      <c r="S894" s="9"/>
      <c r="T894" s="9"/>
      <c r="U894" s="9"/>
      <c r="V894" s="9"/>
      <c r="W894" s="9"/>
      <c r="X894" s="9"/>
      <c r="Y894" s="9"/>
      <c r="Z894" s="9"/>
      <c r="AA894" s="9"/>
      <c r="AB894" s="9"/>
      <c r="AC894" s="9"/>
      <c r="AD894" s="9"/>
    </row>
    <row r="895" spans="1:30" ht="14.25" customHeight="1">
      <c r="A895" s="11"/>
      <c r="B895" s="12"/>
      <c r="C895" s="12"/>
      <c r="D895" s="12"/>
      <c r="E895" s="12"/>
      <c r="F895" s="12"/>
      <c r="G895" s="12"/>
      <c r="H895" s="12"/>
      <c r="I895" s="12"/>
      <c r="J895" s="12"/>
      <c r="K895" s="13"/>
      <c r="L895" s="9"/>
      <c r="M895" s="9"/>
      <c r="N895" s="9"/>
      <c r="O895" s="9"/>
      <c r="P895" s="9"/>
      <c r="Q895" s="9"/>
      <c r="R895" s="9"/>
      <c r="S895" s="9"/>
      <c r="T895" s="9"/>
      <c r="U895" s="9"/>
      <c r="V895" s="9"/>
      <c r="W895" s="9"/>
      <c r="X895" s="9"/>
      <c r="Y895" s="9"/>
      <c r="Z895" s="9"/>
      <c r="AA895" s="9"/>
      <c r="AB895" s="9"/>
      <c r="AC895" s="9"/>
      <c r="AD895" s="9"/>
    </row>
    <row r="896" spans="1:30" ht="14.25" customHeight="1">
      <c r="A896" s="11"/>
      <c r="B896" s="12"/>
      <c r="C896" s="12"/>
      <c r="D896" s="12"/>
      <c r="E896" s="12"/>
      <c r="F896" s="12"/>
      <c r="G896" s="12"/>
      <c r="H896" s="12"/>
      <c r="I896" s="12"/>
      <c r="J896" s="12"/>
      <c r="K896" s="13"/>
      <c r="L896" s="9"/>
      <c r="M896" s="9"/>
      <c r="N896" s="9"/>
      <c r="O896" s="9"/>
      <c r="P896" s="9"/>
      <c r="Q896" s="9"/>
      <c r="R896" s="9"/>
      <c r="S896" s="9"/>
      <c r="T896" s="9"/>
      <c r="U896" s="9"/>
      <c r="V896" s="9"/>
      <c r="W896" s="9"/>
      <c r="X896" s="9"/>
      <c r="Y896" s="9"/>
      <c r="Z896" s="9"/>
      <c r="AA896" s="9"/>
      <c r="AB896" s="9"/>
      <c r="AC896" s="9"/>
      <c r="AD896" s="9"/>
    </row>
    <row r="897" spans="1:30" ht="14.25" customHeight="1">
      <c r="A897" s="11"/>
      <c r="B897" s="12"/>
      <c r="C897" s="12"/>
      <c r="D897" s="12"/>
      <c r="E897" s="12"/>
      <c r="F897" s="12"/>
      <c r="G897" s="12"/>
      <c r="H897" s="12"/>
      <c r="I897" s="12"/>
      <c r="J897" s="12"/>
      <c r="K897" s="13"/>
      <c r="L897" s="9"/>
      <c r="M897" s="9"/>
      <c r="N897" s="9"/>
      <c r="O897" s="9"/>
      <c r="P897" s="9"/>
      <c r="Q897" s="9"/>
      <c r="R897" s="9"/>
      <c r="S897" s="9"/>
      <c r="T897" s="9"/>
      <c r="U897" s="9"/>
      <c r="V897" s="9"/>
      <c r="W897" s="9"/>
      <c r="X897" s="9"/>
      <c r="Y897" s="9"/>
      <c r="Z897" s="9"/>
      <c r="AA897" s="9"/>
      <c r="AB897" s="9"/>
      <c r="AC897" s="9"/>
      <c r="AD897" s="9"/>
    </row>
    <row r="898" spans="1:30" ht="14.25" customHeight="1">
      <c r="A898" s="11"/>
      <c r="B898" s="12"/>
      <c r="C898" s="12"/>
      <c r="D898" s="12"/>
      <c r="E898" s="12"/>
      <c r="F898" s="12"/>
      <c r="G898" s="12"/>
      <c r="H898" s="12"/>
      <c r="I898" s="12"/>
      <c r="J898" s="12"/>
      <c r="K898" s="13"/>
      <c r="L898" s="9"/>
      <c r="M898" s="9"/>
      <c r="N898" s="9"/>
      <c r="O898" s="9"/>
      <c r="P898" s="9"/>
      <c r="Q898" s="9"/>
      <c r="R898" s="9"/>
      <c r="S898" s="9"/>
      <c r="T898" s="9"/>
      <c r="U898" s="9"/>
      <c r="V898" s="9"/>
      <c r="W898" s="9"/>
      <c r="X898" s="9"/>
      <c r="Y898" s="9"/>
      <c r="Z898" s="9"/>
      <c r="AA898" s="9"/>
      <c r="AB898" s="9"/>
      <c r="AC898" s="9"/>
      <c r="AD898" s="9"/>
    </row>
    <row r="899" spans="1:30" ht="14.25" customHeight="1">
      <c r="A899" s="11"/>
      <c r="B899" s="12"/>
      <c r="C899" s="12"/>
      <c r="D899" s="12"/>
      <c r="E899" s="12"/>
      <c r="F899" s="12"/>
      <c r="G899" s="12"/>
      <c r="H899" s="12"/>
      <c r="I899" s="12"/>
      <c r="J899" s="12"/>
      <c r="K899" s="13"/>
      <c r="L899" s="9"/>
      <c r="M899" s="9"/>
      <c r="N899" s="9"/>
      <c r="O899" s="9"/>
      <c r="P899" s="9"/>
      <c r="Q899" s="9"/>
      <c r="R899" s="9"/>
      <c r="S899" s="9"/>
      <c r="T899" s="9"/>
      <c r="U899" s="9"/>
      <c r="V899" s="9"/>
      <c r="W899" s="9"/>
      <c r="X899" s="9"/>
      <c r="Y899" s="9"/>
      <c r="Z899" s="9"/>
      <c r="AA899" s="9"/>
      <c r="AB899" s="9"/>
      <c r="AC899" s="9"/>
      <c r="AD899" s="9"/>
    </row>
    <row r="900" spans="1:30" ht="14.25" customHeight="1">
      <c r="A900" s="11"/>
      <c r="B900" s="12"/>
      <c r="C900" s="12"/>
      <c r="D900" s="12"/>
      <c r="E900" s="12"/>
      <c r="F900" s="12"/>
      <c r="G900" s="12"/>
      <c r="H900" s="12"/>
      <c r="I900" s="12"/>
      <c r="J900" s="12"/>
      <c r="K900" s="13"/>
      <c r="L900" s="9"/>
      <c r="M900" s="9"/>
      <c r="N900" s="9"/>
      <c r="O900" s="9"/>
      <c r="P900" s="9"/>
      <c r="Q900" s="9"/>
      <c r="R900" s="9"/>
      <c r="S900" s="9"/>
      <c r="T900" s="9"/>
      <c r="U900" s="9"/>
      <c r="V900" s="9"/>
      <c r="W900" s="9"/>
      <c r="X900" s="9"/>
      <c r="Y900" s="9"/>
      <c r="Z900" s="9"/>
      <c r="AA900" s="9"/>
      <c r="AB900" s="9"/>
      <c r="AC900" s="9"/>
      <c r="AD900" s="9"/>
    </row>
    <row r="901" spans="1:30" ht="14.25" customHeight="1">
      <c r="A901" s="11"/>
      <c r="B901" s="12"/>
      <c r="C901" s="12"/>
      <c r="D901" s="12"/>
      <c r="E901" s="12"/>
      <c r="F901" s="12"/>
      <c r="G901" s="12"/>
      <c r="H901" s="12"/>
      <c r="I901" s="12"/>
      <c r="J901" s="12"/>
      <c r="K901" s="13"/>
      <c r="L901" s="9"/>
      <c r="M901" s="9"/>
      <c r="N901" s="9"/>
      <c r="O901" s="9"/>
      <c r="P901" s="9"/>
      <c r="Q901" s="9"/>
      <c r="R901" s="9"/>
      <c r="S901" s="9"/>
      <c r="T901" s="9"/>
      <c r="U901" s="9"/>
      <c r="V901" s="9"/>
      <c r="W901" s="9"/>
      <c r="X901" s="9"/>
      <c r="Y901" s="9"/>
      <c r="Z901" s="9"/>
      <c r="AA901" s="9"/>
      <c r="AB901" s="9"/>
      <c r="AC901" s="9"/>
      <c r="AD901" s="9"/>
    </row>
    <row r="902" spans="1:30" ht="14.25" customHeight="1">
      <c r="A902" s="11"/>
      <c r="B902" s="12"/>
      <c r="C902" s="12"/>
      <c r="D902" s="12"/>
      <c r="E902" s="12"/>
      <c r="F902" s="12"/>
      <c r="G902" s="12"/>
      <c r="H902" s="12"/>
      <c r="I902" s="12"/>
      <c r="J902" s="12"/>
      <c r="K902" s="13"/>
      <c r="L902" s="9"/>
      <c r="M902" s="9"/>
      <c r="N902" s="9"/>
      <c r="O902" s="9"/>
      <c r="P902" s="9"/>
      <c r="Q902" s="9"/>
      <c r="R902" s="9"/>
      <c r="S902" s="9"/>
      <c r="T902" s="9"/>
      <c r="U902" s="9"/>
      <c r="V902" s="9"/>
      <c r="W902" s="9"/>
      <c r="X902" s="9"/>
      <c r="Y902" s="9"/>
      <c r="Z902" s="9"/>
      <c r="AA902" s="9"/>
      <c r="AB902" s="9"/>
      <c r="AC902" s="9"/>
      <c r="AD902" s="9"/>
    </row>
    <row r="903" spans="1:30" ht="14.25" customHeight="1">
      <c r="A903" s="11"/>
      <c r="B903" s="12"/>
      <c r="C903" s="12"/>
      <c r="D903" s="12"/>
      <c r="E903" s="12"/>
      <c r="F903" s="12"/>
      <c r="G903" s="12"/>
      <c r="H903" s="12"/>
      <c r="I903" s="12"/>
      <c r="J903" s="12"/>
      <c r="K903" s="13"/>
      <c r="L903" s="9"/>
      <c r="M903" s="9"/>
      <c r="N903" s="9"/>
      <c r="O903" s="9"/>
      <c r="P903" s="9"/>
      <c r="Q903" s="9"/>
      <c r="R903" s="9"/>
      <c r="S903" s="9"/>
      <c r="T903" s="9"/>
      <c r="U903" s="9"/>
      <c r="V903" s="9"/>
      <c r="W903" s="9"/>
      <c r="X903" s="9"/>
      <c r="Y903" s="9"/>
      <c r="Z903" s="9"/>
      <c r="AA903" s="9"/>
      <c r="AB903" s="9"/>
      <c r="AC903" s="9"/>
      <c r="AD903" s="9"/>
    </row>
    <row r="904" spans="1:30" ht="14.25" customHeight="1">
      <c r="A904" s="11"/>
      <c r="B904" s="12"/>
      <c r="C904" s="12"/>
      <c r="D904" s="12"/>
      <c r="E904" s="12"/>
      <c r="F904" s="12"/>
      <c r="G904" s="12"/>
      <c r="H904" s="12"/>
      <c r="I904" s="12"/>
      <c r="J904" s="12"/>
      <c r="K904" s="13"/>
      <c r="L904" s="9"/>
      <c r="M904" s="9"/>
      <c r="N904" s="9"/>
      <c r="O904" s="9"/>
      <c r="P904" s="9"/>
      <c r="Q904" s="9"/>
      <c r="R904" s="9"/>
      <c r="S904" s="9"/>
      <c r="T904" s="9"/>
      <c r="U904" s="9"/>
      <c r="V904" s="9"/>
      <c r="W904" s="9"/>
      <c r="X904" s="9"/>
      <c r="Y904" s="9"/>
      <c r="Z904" s="9"/>
      <c r="AA904" s="9"/>
      <c r="AB904" s="9"/>
      <c r="AC904" s="9"/>
      <c r="AD904" s="9"/>
    </row>
    <row r="905" spans="1:30" ht="14.25" customHeight="1">
      <c r="A905" s="11"/>
      <c r="B905" s="12"/>
      <c r="C905" s="12"/>
      <c r="D905" s="12"/>
      <c r="E905" s="12"/>
      <c r="F905" s="12"/>
      <c r="G905" s="12"/>
      <c r="H905" s="12"/>
      <c r="I905" s="12"/>
      <c r="J905" s="12"/>
      <c r="K905" s="13"/>
      <c r="L905" s="9"/>
      <c r="M905" s="9"/>
      <c r="N905" s="9"/>
      <c r="O905" s="9"/>
      <c r="P905" s="9"/>
      <c r="Q905" s="9"/>
      <c r="R905" s="9"/>
      <c r="S905" s="9"/>
      <c r="T905" s="9"/>
      <c r="U905" s="9"/>
      <c r="V905" s="9"/>
      <c r="W905" s="9"/>
      <c r="X905" s="9"/>
      <c r="Y905" s="9"/>
      <c r="Z905" s="9"/>
      <c r="AA905" s="9"/>
      <c r="AB905" s="9"/>
      <c r="AC905" s="9"/>
      <c r="AD905" s="9"/>
    </row>
    <row r="906" spans="1:30" ht="14.25" customHeight="1">
      <c r="A906" s="11"/>
      <c r="B906" s="12"/>
      <c r="C906" s="12"/>
      <c r="D906" s="12"/>
      <c r="E906" s="12"/>
      <c r="F906" s="12"/>
      <c r="G906" s="12"/>
      <c r="H906" s="12"/>
      <c r="I906" s="12"/>
      <c r="J906" s="12"/>
      <c r="K906" s="13"/>
      <c r="L906" s="9"/>
      <c r="M906" s="9"/>
      <c r="N906" s="9"/>
      <c r="O906" s="9"/>
      <c r="P906" s="9"/>
      <c r="Q906" s="9"/>
      <c r="R906" s="9"/>
      <c r="S906" s="9"/>
      <c r="T906" s="9"/>
      <c r="U906" s="9"/>
      <c r="V906" s="9"/>
      <c r="W906" s="9"/>
      <c r="X906" s="9"/>
      <c r="Y906" s="9"/>
      <c r="Z906" s="9"/>
      <c r="AA906" s="9"/>
      <c r="AB906" s="9"/>
      <c r="AC906" s="9"/>
      <c r="AD906" s="9"/>
    </row>
    <row r="907" spans="1:30" ht="14.25" customHeight="1">
      <c r="A907" s="11"/>
      <c r="B907" s="12"/>
      <c r="C907" s="12"/>
      <c r="D907" s="12"/>
      <c r="E907" s="12"/>
      <c r="F907" s="12"/>
      <c r="G907" s="12"/>
      <c r="H907" s="12"/>
      <c r="I907" s="12"/>
      <c r="J907" s="12"/>
      <c r="K907" s="13"/>
      <c r="L907" s="9"/>
      <c r="M907" s="9"/>
      <c r="N907" s="9"/>
      <c r="O907" s="9"/>
      <c r="P907" s="9"/>
      <c r="Q907" s="9"/>
      <c r="R907" s="9"/>
      <c r="S907" s="9"/>
      <c r="T907" s="9"/>
      <c r="U907" s="9"/>
      <c r="V907" s="9"/>
      <c r="W907" s="9"/>
      <c r="X907" s="9"/>
      <c r="Y907" s="9"/>
      <c r="Z907" s="9"/>
      <c r="AA907" s="9"/>
      <c r="AB907" s="9"/>
      <c r="AC907" s="9"/>
      <c r="AD907" s="9"/>
    </row>
    <row r="908" spans="1:30" ht="14.25" customHeight="1">
      <c r="A908" s="11"/>
      <c r="B908" s="12"/>
      <c r="C908" s="12"/>
      <c r="D908" s="12"/>
      <c r="E908" s="12"/>
      <c r="F908" s="12"/>
      <c r="G908" s="12"/>
      <c r="H908" s="12"/>
      <c r="I908" s="12"/>
      <c r="J908" s="12"/>
      <c r="K908" s="13"/>
      <c r="L908" s="9"/>
      <c r="M908" s="9"/>
      <c r="N908" s="9"/>
      <c r="O908" s="9"/>
      <c r="P908" s="9"/>
      <c r="Q908" s="9"/>
      <c r="R908" s="9"/>
      <c r="S908" s="9"/>
      <c r="T908" s="9"/>
      <c r="U908" s="9"/>
      <c r="V908" s="9"/>
      <c r="W908" s="9"/>
      <c r="X908" s="9"/>
      <c r="Y908" s="9"/>
      <c r="Z908" s="9"/>
      <c r="AA908" s="9"/>
      <c r="AB908" s="9"/>
      <c r="AC908" s="9"/>
      <c r="AD908" s="9"/>
    </row>
    <row r="909" spans="1:30" ht="14.25" customHeight="1">
      <c r="A909" s="11"/>
      <c r="B909" s="12"/>
      <c r="C909" s="12"/>
      <c r="D909" s="12"/>
      <c r="E909" s="12"/>
      <c r="F909" s="12"/>
      <c r="G909" s="12"/>
      <c r="H909" s="12"/>
      <c r="I909" s="12"/>
      <c r="J909" s="12"/>
      <c r="K909" s="13"/>
      <c r="L909" s="9"/>
      <c r="M909" s="9"/>
      <c r="N909" s="9"/>
      <c r="O909" s="9"/>
      <c r="P909" s="9"/>
      <c r="Q909" s="9"/>
      <c r="R909" s="9"/>
      <c r="S909" s="9"/>
      <c r="T909" s="9"/>
      <c r="U909" s="9"/>
      <c r="V909" s="9"/>
      <c r="W909" s="9"/>
      <c r="X909" s="9"/>
      <c r="Y909" s="9"/>
      <c r="Z909" s="9"/>
      <c r="AA909" s="9"/>
      <c r="AB909" s="9"/>
      <c r="AC909" s="9"/>
      <c r="AD909" s="9"/>
    </row>
    <row r="910" spans="1:30" ht="14.25" customHeight="1">
      <c r="A910" s="11"/>
      <c r="B910" s="12"/>
      <c r="C910" s="12"/>
      <c r="D910" s="12"/>
      <c r="E910" s="12"/>
      <c r="F910" s="12"/>
      <c r="G910" s="12"/>
      <c r="H910" s="12"/>
      <c r="I910" s="12"/>
      <c r="J910" s="12"/>
      <c r="K910" s="13"/>
      <c r="L910" s="9"/>
      <c r="M910" s="9"/>
      <c r="N910" s="9"/>
      <c r="O910" s="9"/>
      <c r="P910" s="9"/>
      <c r="Q910" s="9"/>
      <c r="R910" s="9"/>
      <c r="S910" s="9"/>
      <c r="T910" s="9"/>
      <c r="U910" s="9"/>
      <c r="V910" s="9"/>
      <c r="W910" s="9"/>
      <c r="X910" s="9"/>
      <c r="Y910" s="9"/>
      <c r="Z910" s="9"/>
      <c r="AA910" s="9"/>
      <c r="AB910" s="9"/>
      <c r="AC910" s="9"/>
      <c r="AD910" s="9"/>
    </row>
    <row r="911" spans="1:30" ht="14.25" customHeight="1">
      <c r="A911" s="11"/>
      <c r="B911" s="12"/>
      <c r="C911" s="12"/>
      <c r="D911" s="12"/>
      <c r="E911" s="12"/>
      <c r="F911" s="12"/>
      <c r="G911" s="12"/>
      <c r="H911" s="12"/>
      <c r="I911" s="12"/>
      <c r="J911" s="12"/>
      <c r="K911" s="13"/>
      <c r="L911" s="9"/>
      <c r="M911" s="9"/>
      <c r="N911" s="9"/>
      <c r="O911" s="9"/>
      <c r="P911" s="9"/>
      <c r="Q911" s="9"/>
      <c r="R911" s="9"/>
      <c r="S911" s="9"/>
      <c r="T911" s="9"/>
      <c r="U911" s="9"/>
      <c r="V911" s="9"/>
      <c r="W911" s="9"/>
      <c r="X911" s="9"/>
      <c r="Y911" s="9"/>
      <c r="Z911" s="9"/>
      <c r="AA911" s="9"/>
      <c r="AB911" s="9"/>
      <c r="AC911" s="9"/>
      <c r="AD911" s="9"/>
    </row>
    <row r="912" spans="1:30" ht="14.25" customHeight="1">
      <c r="A912" s="11"/>
      <c r="B912" s="12"/>
      <c r="C912" s="12"/>
      <c r="D912" s="12"/>
      <c r="E912" s="12"/>
      <c r="F912" s="12"/>
      <c r="G912" s="12"/>
      <c r="H912" s="12"/>
      <c r="I912" s="12"/>
      <c r="J912" s="12"/>
      <c r="K912" s="13"/>
      <c r="L912" s="9"/>
      <c r="M912" s="9"/>
      <c r="N912" s="9"/>
      <c r="O912" s="9"/>
      <c r="P912" s="9"/>
      <c r="Q912" s="9"/>
      <c r="R912" s="9"/>
      <c r="S912" s="9"/>
      <c r="T912" s="9"/>
      <c r="U912" s="9"/>
      <c r="V912" s="9"/>
      <c r="W912" s="9"/>
      <c r="X912" s="9"/>
      <c r="Y912" s="9"/>
      <c r="Z912" s="9"/>
      <c r="AA912" s="9"/>
      <c r="AB912" s="9"/>
      <c r="AC912" s="9"/>
      <c r="AD912" s="9"/>
    </row>
    <row r="913" spans="1:30" ht="14.25" customHeight="1">
      <c r="A913" s="11"/>
      <c r="B913" s="12"/>
      <c r="C913" s="12"/>
      <c r="D913" s="12"/>
      <c r="E913" s="12"/>
      <c r="F913" s="12"/>
      <c r="G913" s="12"/>
      <c r="H913" s="12"/>
      <c r="I913" s="12"/>
      <c r="J913" s="12"/>
      <c r="K913" s="13"/>
      <c r="L913" s="9"/>
      <c r="M913" s="9"/>
      <c r="N913" s="9"/>
      <c r="O913" s="9"/>
      <c r="P913" s="9"/>
      <c r="Q913" s="9"/>
      <c r="R913" s="9"/>
      <c r="S913" s="9"/>
      <c r="T913" s="9"/>
      <c r="U913" s="9"/>
      <c r="V913" s="9"/>
      <c r="W913" s="9"/>
      <c r="X913" s="9"/>
      <c r="Y913" s="9"/>
      <c r="Z913" s="9"/>
      <c r="AA913" s="9"/>
      <c r="AB913" s="9"/>
      <c r="AC913" s="9"/>
      <c r="AD913" s="9"/>
    </row>
    <row r="914" spans="1:30" ht="14.25" customHeight="1">
      <c r="A914" s="11"/>
      <c r="B914" s="12"/>
      <c r="C914" s="12"/>
      <c r="D914" s="12"/>
      <c r="E914" s="12"/>
      <c r="F914" s="12"/>
      <c r="G914" s="12"/>
      <c r="H914" s="12"/>
      <c r="I914" s="12"/>
      <c r="J914" s="12"/>
      <c r="K914" s="13"/>
      <c r="L914" s="9"/>
      <c r="M914" s="9"/>
      <c r="N914" s="9"/>
      <c r="O914" s="9"/>
      <c r="P914" s="9"/>
      <c r="Q914" s="9"/>
      <c r="R914" s="9"/>
      <c r="S914" s="9"/>
      <c r="T914" s="9"/>
      <c r="U914" s="9"/>
      <c r="V914" s="9"/>
      <c r="W914" s="9"/>
      <c r="X914" s="9"/>
      <c r="Y914" s="9"/>
      <c r="Z914" s="9"/>
      <c r="AA914" s="9"/>
      <c r="AB914" s="9"/>
      <c r="AC914" s="9"/>
      <c r="AD914" s="9"/>
    </row>
    <row r="915" spans="1:30" ht="14.25" customHeight="1">
      <c r="A915" s="11"/>
      <c r="B915" s="12"/>
      <c r="C915" s="12"/>
      <c r="D915" s="12"/>
      <c r="E915" s="12"/>
      <c r="F915" s="12"/>
      <c r="G915" s="12"/>
      <c r="H915" s="12"/>
      <c r="I915" s="12"/>
      <c r="J915" s="12"/>
      <c r="K915" s="13"/>
      <c r="L915" s="9"/>
      <c r="M915" s="9"/>
      <c r="N915" s="9"/>
      <c r="O915" s="9"/>
      <c r="P915" s="9"/>
      <c r="Q915" s="9"/>
      <c r="R915" s="9"/>
      <c r="S915" s="9"/>
      <c r="T915" s="9"/>
      <c r="U915" s="9"/>
      <c r="V915" s="9"/>
      <c r="W915" s="9"/>
      <c r="X915" s="9"/>
      <c r="Y915" s="9"/>
      <c r="Z915" s="9"/>
      <c r="AA915" s="9"/>
      <c r="AB915" s="9"/>
      <c r="AC915" s="9"/>
      <c r="AD915" s="9"/>
    </row>
    <row r="916" spans="1:30" ht="14.25" customHeight="1">
      <c r="A916" s="11"/>
      <c r="B916" s="12"/>
      <c r="C916" s="12"/>
      <c r="D916" s="12"/>
      <c r="E916" s="12"/>
      <c r="F916" s="12"/>
      <c r="G916" s="12"/>
      <c r="H916" s="12"/>
      <c r="I916" s="12"/>
      <c r="J916" s="12"/>
      <c r="K916" s="13"/>
      <c r="L916" s="9"/>
      <c r="M916" s="9"/>
      <c r="N916" s="9"/>
      <c r="O916" s="9"/>
      <c r="P916" s="9"/>
      <c r="Q916" s="9"/>
      <c r="R916" s="9"/>
      <c r="S916" s="9"/>
      <c r="T916" s="9"/>
      <c r="U916" s="9"/>
      <c r="V916" s="9"/>
      <c r="W916" s="9"/>
      <c r="X916" s="9"/>
      <c r="Y916" s="9"/>
      <c r="Z916" s="9"/>
      <c r="AA916" s="9"/>
      <c r="AB916" s="9"/>
      <c r="AC916" s="9"/>
      <c r="AD916" s="9"/>
    </row>
    <row r="917" spans="1:30" ht="14.25" customHeight="1">
      <c r="A917" s="11"/>
      <c r="B917" s="12"/>
      <c r="C917" s="12"/>
      <c r="D917" s="12"/>
      <c r="E917" s="12"/>
      <c r="F917" s="12"/>
      <c r="G917" s="12"/>
      <c r="H917" s="12"/>
      <c r="I917" s="12"/>
      <c r="J917" s="12"/>
      <c r="K917" s="13"/>
      <c r="L917" s="9"/>
      <c r="M917" s="9"/>
      <c r="N917" s="9"/>
      <c r="O917" s="9"/>
      <c r="P917" s="9"/>
      <c r="Q917" s="9"/>
      <c r="R917" s="9"/>
      <c r="S917" s="9"/>
      <c r="T917" s="9"/>
      <c r="U917" s="9"/>
      <c r="V917" s="9"/>
      <c r="W917" s="9"/>
      <c r="X917" s="9"/>
      <c r="Y917" s="9"/>
      <c r="Z917" s="9"/>
      <c r="AA917" s="9"/>
      <c r="AB917" s="9"/>
      <c r="AC917" s="9"/>
      <c r="AD917" s="9"/>
    </row>
    <row r="918" spans="1:30" ht="14.25" customHeight="1">
      <c r="A918" s="11"/>
      <c r="B918" s="12"/>
      <c r="C918" s="12"/>
      <c r="D918" s="12"/>
      <c r="E918" s="12"/>
      <c r="F918" s="12"/>
      <c r="G918" s="12"/>
      <c r="H918" s="12"/>
      <c r="I918" s="12"/>
      <c r="J918" s="12"/>
      <c r="K918" s="13"/>
      <c r="L918" s="9"/>
      <c r="M918" s="9"/>
      <c r="N918" s="9"/>
      <c r="O918" s="9"/>
      <c r="P918" s="9"/>
      <c r="Q918" s="9"/>
      <c r="R918" s="9"/>
      <c r="S918" s="9"/>
      <c r="T918" s="9"/>
      <c r="U918" s="9"/>
      <c r="V918" s="9"/>
      <c r="W918" s="9"/>
      <c r="X918" s="9"/>
      <c r="Y918" s="9"/>
      <c r="Z918" s="9"/>
      <c r="AA918" s="9"/>
      <c r="AB918" s="9"/>
      <c r="AC918" s="9"/>
      <c r="AD918" s="9"/>
    </row>
    <row r="919" spans="1:30" ht="14.25" customHeight="1">
      <c r="A919" s="11"/>
      <c r="B919" s="12"/>
      <c r="C919" s="12"/>
      <c r="D919" s="12"/>
      <c r="E919" s="12"/>
      <c r="F919" s="12"/>
      <c r="G919" s="12"/>
      <c r="H919" s="12"/>
      <c r="I919" s="12"/>
      <c r="J919" s="12"/>
      <c r="K919" s="13"/>
      <c r="L919" s="9"/>
      <c r="M919" s="9"/>
      <c r="N919" s="9"/>
      <c r="O919" s="9"/>
      <c r="P919" s="9"/>
      <c r="Q919" s="9"/>
      <c r="R919" s="9"/>
      <c r="S919" s="9"/>
      <c r="T919" s="9"/>
      <c r="U919" s="9"/>
      <c r="V919" s="9"/>
      <c r="W919" s="9"/>
      <c r="X919" s="9"/>
      <c r="Y919" s="9"/>
      <c r="Z919" s="9"/>
      <c r="AA919" s="9"/>
      <c r="AB919" s="9"/>
      <c r="AC919" s="9"/>
      <c r="AD919" s="9"/>
    </row>
    <row r="920" spans="1:30" ht="14.25" customHeight="1">
      <c r="A920" s="11"/>
      <c r="B920" s="12"/>
      <c r="C920" s="12"/>
      <c r="D920" s="12"/>
      <c r="E920" s="12"/>
      <c r="F920" s="12"/>
      <c r="G920" s="12"/>
      <c r="H920" s="12"/>
      <c r="I920" s="12"/>
      <c r="J920" s="12"/>
      <c r="K920" s="13"/>
      <c r="L920" s="9"/>
      <c r="M920" s="9"/>
      <c r="N920" s="9"/>
      <c r="O920" s="9"/>
      <c r="P920" s="9"/>
      <c r="Q920" s="9"/>
      <c r="R920" s="9"/>
      <c r="S920" s="9"/>
      <c r="T920" s="9"/>
      <c r="U920" s="9"/>
      <c r="V920" s="9"/>
      <c r="W920" s="9"/>
      <c r="X920" s="9"/>
      <c r="Y920" s="9"/>
      <c r="Z920" s="9"/>
      <c r="AA920" s="9"/>
      <c r="AB920" s="9"/>
      <c r="AC920" s="9"/>
      <c r="AD920" s="9"/>
    </row>
    <row r="921" spans="1:30" ht="14.25" customHeight="1">
      <c r="A921" s="11"/>
      <c r="B921" s="12"/>
      <c r="C921" s="12"/>
      <c r="D921" s="12"/>
      <c r="E921" s="12"/>
      <c r="F921" s="12"/>
      <c r="G921" s="12"/>
      <c r="H921" s="12"/>
      <c r="I921" s="12"/>
      <c r="J921" s="12"/>
      <c r="K921" s="13"/>
      <c r="L921" s="9"/>
      <c r="M921" s="9"/>
      <c r="N921" s="9"/>
      <c r="O921" s="9"/>
      <c r="P921" s="9"/>
      <c r="Q921" s="9"/>
      <c r="R921" s="9"/>
      <c r="S921" s="9"/>
      <c r="T921" s="9"/>
      <c r="U921" s="9"/>
      <c r="V921" s="9"/>
      <c r="W921" s="9"/>
      <c r="X921" s="9"/>
      <c r="Y921" s="9"/>
      <c r="Z921" s="9"/>
      <c r="AA921" s="9"/>
      <c r="AB921" s="9"/>
      <c r="AC921" s="9"/>
      <c r="AD921" s="9"/>
    </row>
    <row r="922" spans="1:30" ht="14.25" customHeight="1">
      <c r="A922" s="11"/>
      <c r="B922" s="12"/>
      <c r="C922" s="12"/>
      <c r="D922" s="12"/>
      <c r="E922" s="12"/>
      <c r="F922" s="12"/>
      <c r="G922" s="12"/>
      <c r="H922" s="12"/>
      <c r="I922" s="12"/>
      <c r="J922" s="12"/>
      <c r="K922" s="13"/>
      <c r="L922" s="9"/>
      <c r="M922" s="9"/>
      <c r="N922" s="9"/>
      <c r="O922" s="9"/>
      <c r="P922" s="9"/>
      <c r="Q922" s="9"/>
      <c r="R922" s="9"/>
      <c r="S922" s="9"/>
      <c r="T922" s="9"/>
      <c r="U922" s="9"/>
      <c r="V922" s="9"/>
      <c r="W922" s="9"/>
      <c r="X922" s="9"/>
      <c r="Y922" s="9"/>
      <c r="Z922" s="9"/>
      <c r="AA922" s="9"/>
      <c r="AB922" s="9"/>
      <c r="AC922" s="9"/>
      <c r="AD922" s="9"/>
    </row>
    <row r="923" spans="1:30" ht="14.25" customHeight="1">
      <c r="A923" s="11"/>
      <c r="B923" s="12"/>
      <c r="C923" s="12"/>
      <c r="D923" s="12"/>
      <c r="E923" s="12"/>
      <c r="F923" s="12"/>
      <c r="G923" s="12"/>
      <c r="H923" s="12"/>
      <c r="I923" s="12"/>
      <c r="J923" s="12"/>
      <c r="K923" s="13"/>
      <c r="L923" s="9"/>
      <c r="M923" s="9"/>
      <c r="N923" s="9"/>
      <c r="O923" s="9"/>
      <c r="P923" s="9"/>
      <c r="Q923" s="9"/>
      <c r="R923" s="9"/>
      <c r="S923" s="9"/>
      <c r="T923" s="9"/>
      <c r="U923" s="9"/>
      <c r="V923" s="9"/>
      <c r="W923" s="9"/>
      <c r="X923" s="9"/>
      <c r="Y923" s="9"/>
      <c r="Z923" s="9"/>
      <c r="AA923" s="9"/>
      <c r="AB923" s="9"/>
      <c r="AC923" s="9"/>
      <c r="AD923" s="9"/>
    </row>
    <row r="924" spans="1:30" ht="14.25" customHeight="1">
      <c r="A924" s="11"/>
      <c r="B924" s="12"/>
      <c r="C924" s="12"/>
      <c r="D924" s="12"/>
      <c r="E924" s="12"/>
      <c r="F924" s="12"/>
      <c r="G924" s="12"/>
      <c r="H924" s="12"/>
      <c r="I924" s="12"/>
      <c r="J924" s="12"/>
      <c r="K924" s="13"/>
      <c r="L924" s="9"/>
      <c r="M924" s="9"/>
      <c r="N924" s="9"/>
      <c r="O924" s="9"/>
      <c r="P924" s="9"/>
      <c r="Q924" s="9"/>
      <c r="R924" s="9"/>
      <c r="S924" s="9"/>
      <c r="T924" s="9"/>
      <c r="U924" s="9"/>
      <c r="V924" s="9"/>
      <c r="W924" s="9"/>
      <c r="X924" s="9"/>
      <c r="Y924" s="9"/>
      <c r="Z924" s="9"/>
      <c r="AA924" s="9"/>
      <c r="AB924" s="9"/>
      <c r="AC924" s="9"/>
      <c r="AD924" s="9"/>
    </row>
    <row r="925" spans="1:30" ht="14.25" customHeight="1">
      <c r="A925" s="11"/>
      <c r="B925" s="12"/>
      <c r="C925" s="12"/>
      <c r="D925" s="12"/>
      <c r="E925" s="12"/>
      <c r="F925" s="12"/>
      <c r="G925" s="12"/>
      <c r="H925" s="12"/>
      <c r="I925" s="12"/>
      <c r="J925" s="12"/>
      <c r="K925" s="13"/>
      <c r="L925" s="9"/>
      <c r="M925" s="9"/>
      <c r="N925" s="9"/>
      <c r="O925" s="9"/>
      <c r="P925" s="9"/>
      <c r="Q925" s="9"/>
      <c r="R925" s="9"/>
      <c r="S925" s="9"/>
      <c r="T925" s="9"/>
      <c r="U925" s="9"/>
      <c r="V925" s="9"/>
      <c r="W925" s="9"/>
      <c r="X925" s="9"/>
      <c r="Y925" s="9"/>
      <c r="Z925" s="9"/>
      <c r="AA925" s="9"/>
      <c r="AB925" s="9"/>
      <c r="AC925" s="9"/>
      <c r="AD925" s="9"/>
    </row>
    <row r="926" spans="1:30" ht="14.25" customHeight="1">
      <c r="A926" s="11"/>
      <c r="B926" s="12"/>
      <c r="C926" s="12"/>
      <c r="D926" s="12"/>
      <c r="E926" s="12"/>
      <c r="F926" s="12"/>
      <c r="G926" s="12"/>
      <c r="H926" s="12"/>
      <c r="I926" s="12"/>
      <c r="J926" s="12"/>
      <c r="K926" s="13"/>
      <c r="L926" s="9"/>
      <c r="M926" s="9"/>
      <c r="N926" s="9"/>
      <c r="O926" s="9"/>
      <c r="P926" s="9"/>
      <c r="Q926" s="9"/>
      <c r="R926" s="9"/>
      <c r="S926" s="9"/>
      <c r="T926" s="9"/>
      <c r="U926" s="9"/>
      <c r="V926" s="9"/>
      <c r="W926" s="9"/>
      <c r="X926" s="9"/>
      <c r="Y926" s="9"/>
      <c r="Z926" s="9"/>
      <c r="AA926" s="9"/>
      <c r="AB926" s="9"/>
      <c r="AC926" s="9"/>
      <c r="AD926" s="9"/>
    </row>
    <row r="927" spans="1:30" ht="14.25" customHeight="1">
      <c r="A927" s="11"/>
      <c r="B927" s="12"/>
      <c r="C927" s="12"/>
      <c r="D927" s="12"/>
      <c r="E927" s="12"/>
      <c r="F927" s="12"/>
      <c r="G927" s="12"/>
      <c r="H927" s="12"/>
      <c r="I927" s="12"/>
      <c r="J927" s="12"/>
      <c r="K927" s="13"/>
      <c r="L927" s="9"/>
      <c r="M927" s="9"/>
      <c r="N927" s="9"/>
      <c r="O927" s="9"/>
      <c r="P927" s="9"/>
      <c r="Q927" s="9"/>
      <c r="R927" s="9"/>
      <c r="S927" s="9"/>
      <c r="T927" s="9"/>
      <c r="U927" s="9"/>
      <c r="V927" s="9"/>
      <c r="W927" s="9"/>
      <c r="X927" s="9"/>
      <c r="Y927" s="9"/>
      <c r="Z927" s="9"/>
      <c r="AA927" s="9"/>
      <c r="AB927" s="9"/>
      <c r="AC927" s="9"/>
      <c r="AD927" s="9"/>
    </row>
    <row r="928" spans="1:30" ht="14.25" customHeight="1">
      <c r="A928" s="11"/>
      <c r="B928" s="12"/>
      <c r="C928" s="12"/>
      <c r="D928" s="12"/>
      <c r="E928" s="12"/>
      <c r="F928" s="12"/>
      <c r="G928" s="12"/>
      <c r="H928" s="12"/>
      <c r="I928" s="12"/>
      <c r="J928" s="12"/>
      <c r="K928" s="13"/>
      <c r="L928" s="9"/>
      <c r="M928" s="9"/>
      <c r="N928" s="9"/>
      <c r="O928" s="9"/>
      <c r="P928" s="9"/>
      <c r="Q928" s="9"/>
      <c r="R928" s="9"/>
      <c r="S928" s="9"/>
      <c r="T928" s="9"/>
      <c r="U928" s="9"/>
      <c r="V928" s="9"/>
      <c r="W928" s="9"/>
      <c r="X928" s="9"/>
      <c r="Y928" s="9"/>
      <c r="Z928" s="9"/>
      <c r="AA928" s="9"/>
      <c r="AB928" s="9"/>
      <c r="AC928" s="9"/>
      <c r="AD928" s="9"/>
    </row>
    <row r="929" spans="1:30" ht="14.25" customHeight="1">
      <c r="A929" s="11"/>
      <c r="B929" s="12"/>
      <c r="C929" s="12"/>
      <c r="D929" s="12"/>
      <c r="E929" s="12"/>
      <c r="F929" s="12"/>
      <c r="G929" s="12"/>
      <c r="H929" s="12"/>
      <c r="I929" s="12"/>
      <c r="J929" s="12"/>
      <c r="K929" s="13"/>
      <c r="L929" s="9"/>
      <c r="M929" s="9"/>
      <c r="N929" s="9"/>
      <c r="O929" s="9"/>
      <c r="P929" s="9"/>
      <c r="Q929" s="9"/>
      <c r="R929" s="9"/>
      <c r="S929" s="9"/>
      <c r="T929" s="9"/>
      <c r="U929" s="9"/>
      <c r="V929" s="9"/>
      <c r="W929" s="9"/>
      <c r="X929" s="9"/>
      <c r="Y929" s="9"/>
      <c r="Z929" s="9"/>
      <c r="AA929" s="9"/>
      <c r="AB929" s="9"/>
      <c r="AC929" s="9"/>
      <c r="AD929" s="9"/>
    </row>
    <row r="930" spans="1:30" ht="14.25" customHeight="1">
      <c r="A930" s="11"/>
      <c r="B930" s="12"/>
      <c r="C930" s="12"/>
      <c r="D930" s="12"/>
      <c r="E930" s="12"/>
      <c r="F930" s="12"/>
      <c r="G930" s="12"/>
      <c r="H930" s="12"/>
      <c r="I930" s="12"/>
      <c r="J930" s="12"/>
      <c r="K930" s="13"/>
      <c r="L930" s="9"/>
      <c r="M930" s="9"/>
      <c r="N930" s="9"/>
      <c r="O930" s="9"/>
      <c r="P930" s="9"/>
      <c r="Q930" s="9"/>
      <c r="R930" s="9"/>
      <c r="S930" s="9"/>
      <c r="T930" s="9"/>
      <c r="U930" s="9"/>
      <c r="V930" s="9"/>
      <c r="W930" s="9"/>
      <c r="X930" s="9"/>
      <c r="Y930" s="9"/>
      <c r="Z930" s="9"/>
      <c r="AA930" s="9"/>
      <c r="AB930" s="9"/>
      <c r="AC930" s="9"/>
      <c r="AD930" s="9"/>
    </row>
    <row r="931" spans="1:30" ht="14.25" customHeight="1">
      <c r="A931" s="11"/>
      <c r="B931" s="12"/>
      <c r="C931" s="12"/>
      <c r="D931" s="12"/>
      <c r="E931" s="12"/>
      <c r="F931" s="12"/>
      <c r="G931" s="12"/>
      <c r="H931" s="12"/>
      <c r="I931" s="12"/>
      <c r="J931" s="12"/>
      <c r="K931" s="13"/>
      <c r="L931" s="9"/>
      <c r="M931" s="9"/>
      <c r="N931" s="9"/>
      <c r="O931" s="9"/>
      <c r="P931" s="9"/>
      <c r="Q931" s="9"/>
      <c r="R931" s="9"/>
      <c r="S931" s="9"/>
      <c r="T931" s="9"/>
      <c r="U931" s="9"/>
      <c r="V931" s="9"/>
      <c r="W931" s="9"/>
      <c r="X931" s="9"/>
      <c r="Y931" s="9"/>
      <c r="Z931" s="9"/>
      <c r="AA931" s="9"/>
      <c r="AB931" s="9"/>
      <c r="AC931" s="9"/>
      <c r="AD931" s="9"/>
    </row>
    <row r="932" spans="1:30" ht="14.25" customHeight="1">
      <c r="A932" s="11"/>
      <c r="B932" s="12"/>
      <c r="C932" s="12"/>
      <c r="D932" s="12"/>
      <c r="E932" s="12"/>
      <c r="F932" s="12"/>
      <c r="G932" s="12"/>
      <c r="H932" s="12"/>
      <c r="I932" s="12"/>
      <c r="J932" s="12"/>
      <c r="K932" s="13"/>
      <c r="L932" s="9"/>
      <c r="M932" s="9"/>
      <c r="N932" s="9"/>
      <c r="O932" s="9"/>
      <c r="P932" s="9"/>
      <c r="Q932" s="9"/>
      <c r="R932" s="9"/>
      <c r="S932" s="9"/>
      <c r="T932" s="9"/>
      <c r="U932" s="9"/>
      <c r="V932" s="9"/>
      <c r="W932" s="9"/>
      <c r="X932" s="9"/>
      <c r="Y932" s="9"/>
      <c r="Z932" s="9"/>
      <c r="AA932" s="9"/>
      <c r="AB932" s="9"/>
      <c r="AC932" s="9"/>
      <c r="AD932" s="9"/>
    </row>
    <row r="933" spans="1:30" ht="14.25" customHeight="1">
      <c r="A933" s="11"/>
      <c r="B933" s="12"/>
      <c r="C933" s="12"/>
      <c r="D933" s="12"/>
      <c r="E933" s="12"/>
      <c r="F933" s="12"/>
      <c r="G933" s="12"/>
      <c r="H933" s="12"/>
      <c r="I933" s="12"/>
      <c r="J933" s="12"/>
      <c r="K933" s="13"/>
      <c r="L933" s="9"/>
      <c r="M933" s="9"/>
      <c r="N933" s="9"/>
      <c r="O933" s="9"/>
      <c r="P933" s="9"/>
      <c r="Q933" s="9"/>
      <c r="R933" s="9"/>
      <c r="S933" s="9"/>
      <c r="T933" s="9"/>
      <c r="U933" s="9"/>
      <c r="V933" s="9"/>
      <c r="W933" s="9"/>
      <c r="X933" s="9"/>
      <c r="Y933" s="9"/>
      <c r="Z933" s="9"/>
      <c r="AA933" s="9"/>
      <c r="AB933" s="9"/>
      <c r="AC933" s="9"/>
      <c r="AD933" s="9"/>
    </row>
    <row r="934" spans="1:30" ht="14.25" customHeight="1">
      <c r="A934" s="11"/>
      <c r="B934" s="12"/>
      <c r="C934" s="12"/>
      <c r="D934" s="12"/>
      <c r="E934" s="12"/>
      <c r="F934" s="12"/>
      <c r="G934" s="12"/>
      <c r="H934" s="12"/>
      <c r="I934" s="12"/>
      <c r="J934" s="12"/>
      <c r="K934" s="13"/>
      <c r="L934" s="9"/>
      <c r="M934" s="9"/>
      <c r="N934" s="9"/>
      <c r="O934" s="9"/>
      <c r="P934" s="9"/>
      <c r="Q934" s="9"/>
      <c r="R934" s="9"/>
      <c r="S934" s="9"/>
      <c r="T934" s="9"/>
      <c r="U934" s="9"/>
      <c r="V934" s="9"/>
      <c r="W934" s="9"/>
      <c r="X934" s="9"/>
      <c r="Y934" s="9"/>
      <c r="Z934" s="9"/>
      <c r="AA934" s="9"/>
      <c r="AB934" s="9"/>
      <c r="AC934" s="9"/>
      <c r="AD934" s="9"/>
    </row>
    <row r="935" spans="1:30" ht="14.25" customHeight="1">
      <c r="A935" s="11"/>
      <c r="B935" s="12"/>
      <c r="C935" s="12"/>
      <c r="D935" s="12"/>
      <c r="E935" s="12"/>
      <c r="F935" s="12"/>
      <c r="G935" s="12"/>
      <c r="H935" s="12"/>
      <c r="I935" s="12"/>
      <c r="J935" s="12"/>
      <c r="K935" s="13"/>
      <c r="L935" s="9"/>
      <c r="M935" s="9"/>
      <c r="N935" s="9"/>
      <c r="O935" s="9"/>
      <c r="P935" s="9"/>
      <c r="Q935" s="9"/>
      <c r="R935" s="9"/>
      <c r="S935" s="9"/>
      <c r="T935" s="9"/>
      <c r="U935" s="9"/>
      <c r="V935" s="9"/>
      <c r="W935" s="9"/>
      <c r="X935" s="9"/>
      <c r="Y935" s="9"/>
      <c r="Z935" s="9"/>
      <c r="AA935" s="9"/>
      <c r="AB935" s="9"/>
      <c r="AC935" s="9"/>
      <c r="AD935" s="9"/>
    </row>
    <row r="936" spans="1:30" ht="14.25" customHeight="1">
      <c r="A936" s="11"/>
      <c r="B936" s="12"/>
      <c r="C936" s="12"/>
      <c r="D936" s="12"/>
      <c r="E936" s="12"/>
      <c r="F936" s="12"/>
      <c r="G936" s="12"/>
      <c r="H936" s="12"/>
      <c r="I936" s="12"/>
      <c r="J936" s="12"/>
      <c r="K936" s="13"/>
      <c r="L936" s="9"/>
      <c r="M936" s="9"/>
      <c r="N936" s="9"/>
      <c r="O936" s="9"/>
      <c r="P936" s="9"/>
      <c r="Q936" s="9"/>
      <c r="R936" s="9"/>
      <c r="S936" s="9"/>
      <c r="T936" s="9"/>
      <c r="U936" s="9"/>
      <c r="V936" s="9"/>
      <c r="W936" s="9"/>
      <c r="X936" s="9"/>
      <c r="Y936" s="9"/>
      <c r="Z936" s="9"/>
      <c r="AA936" s="9"/>
      <c r="AB936" s="9"/>
      <c r="AC936" s="9"/>
      <c r="AD936" s="9"/>
    </row>
    <row r="937" spans="1:30" ht="14.25" customHeight="1">
      <c r="A937" s="11"/>
      <c r="B937" s="12"/>
      <c r="C937" s="12"/>
      <c r="D937" s="12"/>
      <c r="E937" s="12"/>
      <c r="F937" s="12"/>
      <c r="G937" s="12"/>
      <c r="H937" s="12"/>
      <c r="I937" s="12"/>
      <c r="J937" s="12"/>
      <c r="K937" s="13"/>
      <c r="L937" s="9"/>
      <c r="M937" s="9"/>
      <c r="N937" s="9"/>
      <c r="O937" s="9"/>
      <c r="P937" s="9"/>
      <c r="Q937" s="9"/>
      <c r="R937" s="9"/>
      <c r="S937" s="9"/>
      <c r="T937" s="9"/>
      <c r="U937" s="9"/>
      <c r="V937" s="9"/>
      <c r="W937" s="9"/>
      <c r="X937" s="9"/>
      <c r="Y937" s="9"/>
      <c r="Z937" s="9"/>
      <c r="AA937" s="9"/>
      <c r="AB937" s="9"/>
      <c r="AC937" s="9"/>
      <c r="AD937" s="9"/>
    </row>
    <row r="938" spans="1:30" ht="14.25" customHeight="1">
      <c r="A938" s="11"/>
      <c r="B938" s="12"/>
      <c r="C938" s="12"/>
      <c r="D938" s="12"/>
      <c r="E938" s="12"/>
      <c r="F938" s="12"/>
      <c r="G938" s="12"/>
      <c r="H938" s="12"/>
      <c r="I938" s="12"/>
      <c r="J938" s="12"/>
      <c r="K938" s="13"/>
      <c r="L938" s="9"/>
      <c r="M938" s="9"/>
      <c r="N938" s="9"/>
      <c r="O938" s="9"/>
      <c r="P938" s="9"/>
      <c r="Q938" s="9"/>
      <c r="R938" s="9"/>
      <c r="S938" s="9"/>
      <c r="T938" s="9"/>
      <c r="U938" s="9"/>
      <c r="V938" s="9"/>
      <c r="W938" s="9"/>
      <c r="X938" s="9"/>
      <c r="Y938" s="9"/>
      <c r="Z938" s="9"/>
      <c r="AA938" s="9"/>
      <c r="AB938" s="9"/>
      <c r="AC938" s="9"/>
      <c r="AD938" s="9"/>
    </row>
    <row r="939" spans="1:30" ht="14.25" customHeight="1">
      <c r="A939" s="11"/>
      <c r="B939" s="12"/>
      <c r="C939" s="12"/>
      <c r="D939" s="12"/>
      <c r="E939" s="12"/>
      <c r="F939" s="12"/>
      <c r="G939" s="12"/>
      <c r="H939" s="12"/>
      <c r="I939" s="12"/>
      <c r="J939" s="12"/>
      <c r="K939" s="13"/>
      <c r="L939" s="9"/>
      <c r="M939" s="9"/>
      <c r="N939" s="9"/>
      <c r="O939" s="9"/>
      <c r="P939" s="9"/>
      <c r="Q939" s="9"/>
      <c r="R939" s="9"/>
      <c r="S939" s="9"/>
      <c r="T939" s="9"/>
      <c r="U939" s="9"/>
      <c r="V939" s="9"/>
      <c r="W939" s="9"/>
      <c r="X939" s="9"/>
      <c r="Y939" s="9"/>
      <c r="Z939" s="9"/>
      <c r="AA939" s="9"/>
      <c r="AB939" s="9"/>
      <c r="AC939" s="9"/>
      <c r="AD939" s="9"/>
    </row>
    <row r="940" spans="1:30" ht="14.25" customHeight="1">
      <c r="A940" s="11"/>
      <c r="B940" s="12"/>
      <c r="C940" s="12"/>
      <c r="D940" s="12"/>
      <c r="E940" s="12"/>
      <c r="F940" s="12"/>
      <c r="G940" s="12"/>
      <c r="H940" s="12"/>
      <c r="I940" s="12"/>
      <c r="J940" s="12"/>
      <c r="K940" s="13"/>
      <c r="L940" s="9"/>
      <c r="M940" s="9"/>
      <c r="N940" s="9"/>
      <c r="O940" s="9"/>
      <c r="P940" s="9"/>
      <c r="Q940" s="9"/>
      <c r="R940" s="9"/>
      <c r="S940" s="9"/>
      <c r="T940" s="9"/>
      <c r="U940" s="9"/>
      <c r="V940" s="9"/>
      <c r="W940" s="9"/>
      <c r="X940" s="9"/>
      <c r="Y940" s="9"/>
      <c r="Z940" s="9"/>
      <c r="AA940" s="9"/>
      <c r="AB940" s="9"/>
      <c r="AC940" s="9"/>
      <c r="AD940" s="9"/>
    </row>
    <row r="941" spans="1:30" ht="14.25" customHeight="1">
      <c r="A941" s="11"/>
      <c r="B941" s="12"/>
      <c r="C941" s="12"/>
      <c r="D941" s="12"/>
      <c r="E941" s="12"/>
      <c r="F941" s="12"/>
      <c r="G941" s="12"/>
      <c r="H941" s="12"/>
      <c r="I941" s="12"/>
      <c r="J941" s="12"/>
      <c r="K941" s="13"/>
      <c r="L941" s="9"/>
      <c r="M941" s="9"/>
      <c r="N941" s="9"/>
      <c r="O941" s="9"/>
      <c r="P941" s="9"/>
      <c r="Q941" s="9"/>
      <c r="R941" s="9"/>
      <c r="S941" s="9"/>
      <c r="T941" s="9"/>
      <c r="U941" s="9"/>
      <c r="V941" s="9"/>
      <c r="W941" s="9"/>
      <c r="X941" s="9"/>
      <c r="Y941" s="9"/>
      <c r="Z941" s="9"/>
      <c r="AA941" s="9"/>
      <c r="AB941" s="9"/>
      <c r="AC941" s="9"/>
      <c r="AD941" s="9"/>
    </row>
    <row r="942" spans="1:30" ht="14.25" customHeight="1">
      <c r="A942" s="11"/>
      <c r="B942" s="12"/>
      <c r="C942" s="12"/>
      <c r="D942" s="12"/>
      <c r="E942" s="12"/>
      <c r="F942" s="12"/>
      <c r="G942" s="12"/>
      <c r="H942" s="12"/>
      <c r="I942" s="12"/>
      <c r="J942" s="12"/>
      <c r="K942" s="13"/>
      <c r="L942" s="9"/>
      <c r="M942" s="9"/>
      <c r="N942" s="9"/>
      <c r="O942" s="9"/>
      <c r="P942" s="9"/>
      <c r="Q942" s="9"/>
      <c r="R942" s="9"/>
      <c r="S942" s="9"/>
      <c r="T942" s="9"/>
      <c r="U942" s="9"/>
      <c r="V942" s="9"/>
      <c r="W942" s="9"/>
      <c r="X942" s="9"/>
      <c r="Y942" s="9"/>
      <c r="Z942" s="9"/>
      <c r="AA942" s="9"/>
      <c r="AB942" s="9"/>
      <c r="AC942" s="9"/>
      <c r="AD942" s="9"/>
    </row>
    <row r="943" spans="1:30" ht="14.25" customHeight="1">
      <c r="A943" s="11"/>
      <c r="B943" s="12"/>
      <c r="C943" s="12"/>
      <c r="D943" s="12"/>
      <c r="E943" s="12"/>
      <c r="F943" s="12"/>
      <c r="G943" s="12"/>
      <c r="H943" s="12"/>
      <c r="I943" s="12"/>
      <c r="J943" s="12"/>
      <c r="K943" s="13"/>
      <c r="L943" s="9"/>
      <c r="M943" s="9"/>
      <c r="N943" s="9"/>
      <c r="O943" s="9"/>
      <c r="P943" s="9"/>
      <c r="Q943" s="9"/>
      <c r="R943" s="9"/>
      <c r="S943" s="9"/>
      <c r="T943" s="9"/>
      <c r="U943" s="9"/>
      <c r="V943" s="9"/>
      <c r="W943" s="9"/>
      <c r="X943" s="9"/>
      <c r="Y943" s="9"/>
      <c r="Z943" s="9"/>
      <c r="AA943" s="9"/>
      <c r="AB943" s="9"/>
      <c r="AC943" s="9"/>
      <c r="AD943" s="9"/>
    </row>
    <row r="944" spans="1:30" ht="14.25" customHeight="1">
      <c r="A944" s="11"/>
      <c r="B944" s="12"/>
      <c r="C944" s="12"/>
      <c r="D944" s="12"/>
      <c r="E944" s="12"/>
      <c r="F944" s="12"/>
      <c r="G944" s="12"/>
      <c r="H944" s="12"/>
      <c r="I944" s="12"/>
      <c r="J944" s="12"/>
      <c r="K944" s="13"/>
      <c r="L944" s="9"/>
      <c r="M944" s="9"/>
      <c r="N944" s="9"/>
      <c r="O944" s="9"/>
      <c r="P944" s="9"/>
      <c r="Q944" s="9"/>
      <c r="R944" s="9"/>
      <c r="S944" s="9"/>
      <c r="T944" s="9"/>
      <c r="U944" s="9"/>
      <c r="V944" s="9"/>
      <c r="W944" s="9"/>
      <c r="X944" s="9"/>
      <c r="Y944" s="9"/>
      <c r="Z944" s="9"/>
      <c r="AA944" s="9"/>
      <c r="AB944" s="9"/>
      <c r="AC944" s="9"/>
      <c r="AD944" s="9"/>
    </row>
    <row r="945" spans="1:30" ht="14.25" customHeight="1">
      <c r="A945" s="11"/>
      <c r="B945" s="12"/>
      <c r="C945" s="12"/>
      <c r="D945" s="12"/>
      <c r="E945" s="12"/>
      <c r="F945" s="12"/>
      <c r="G945" s="12"/>
      <c r="H945" s="12"/>
      <c r="I945" s="12"/>
      <c r="J945" s="12"/>
      <c r="K945" s="13"/>
      <c r="L945" s="9"/>
      <c r="M945" s="9"/>
      <c r="N945" s="9"/>
      <c r="O945" s="9"/>
      <c r="P945" s="9"/>
      <c r="Q945" s="9"/>
      <c r="R945" s="9"/>
      <c r="S945" s="9"/>
      <c r="T945" s="9"/>
      <c r="U945" s="9"/>
      <c r="V945" s="9"/>
      <c r="W945" s="9"/>
      <c r="X945" s="9"/>
      <c r="Y945" s="9"/>
      <c r="Z945" s="9"/>
      <c r="AA945" s="9"/>
      <c r="AB945" s="9"/>
      <c r="AC945" s="9"/>
      <c r="AD945" s="9"/>
    </row>
    <row r="946" spans="1:30" ht="14.25" customHeight="1">
      <c r="A946" s="11"/>
      <c r="B946" s="12"/>
      <c r="C946" s="12"/>
      <c r="D946" s="12"/>
      <c r="E946" s="12"/>
      <c r="F946" s="12"/>
      <c r="G946" s="12"/>
      <c r="H946" s="12"/>
      <c r="I946" s="12"/>
      <c r="J946" s="12"/>
      <c r="K946" s="13"/>
      <c r="L946" s="9"/>
      <c r="M946" s="9"/>
      <c r="N946" s="9"/>
      <c r="O946" s="9"/>
      <c r="P946" s="9"/>
      <c r="Q946" s="9"/>
      <c r="R946" s="9"/>
      <c r="S946" s="9"/>
      <c r="T946" s="9"/>
      <c r="U946" s="9"/>
      <c r="V946" s="9"/>
      <c r="W946" s="9"/>
      <c r="X946" s="9"/>
      <c r="Y946" s="9"/>
      <c r="Z946" s="9"/>
      <c r="AA946" s="9"/>
      <c r="AB946" s="9"/>
      <c r="AC946" s="9"/>
      <c r="AD946" s="9"/>
    </row>
    <row r="947" spans="1:30" ht="14.25" customHeight="1">
      <c r="A947" s="11"/>
      <c r="B947" s="12"/>
      <c r="C947" s="12"/>
      <c r="D947" s="12"/>
      <c r="E947" s="12"/>
      <c r="F947" s="12"/>
      <c r="G947" s="12"/>
      <c r="H947" s="12"/>
      <c r="I947" s="12"/>
      <c r="J947" s="12"/>
      <c r="K947" s="13"/>
      <c r="L947" s="9"/>
      <c r="M947" s="9"/>
      <c r="N947" s="9"/>
      <c r="O947" s="9"/>
      <c r="P947" s="9"/>
      <c r="Q947" s="9"/>
      <c r="R947" s="9"/>
      <c r="S947" s="9"/>
      <c r="T947" s="9"/>
      <c r="U947" s="9"/>
      <c r="V947" s="9"/>
      <c r="W947" s="9"/>
      <c r="X947" s="9"/>
      <c r="Y947" s="9"/>
      <c r="Z947" s="9"/>
      <c r="AA947" s="9"/>
      <c r="AB947" s="9"/>
      <c r="AC947" s="9"/>
      <c r="AD947" s="9"/>
    </row>
    <row r="948" spans="1:30" ht="14.25" customHeight="1">
      <c r="A948" s="11"/>
      <c r="B948" s="12"/>
      <c r="C948" s="12"/>
      <c r="D948" s="12"/>
      <c r="E948" s="12"/>
      <c r="F948" s="12"/>
      <c r="G948" s="12"/>
      <c r="H948" s="12"/>
      <c r="I948" s="12"/>
      <c r="J948" s="12"/>
      <c r="K948" s="13"/>
      <c r="L948" s="9"/>
      <c r="M948" s="9"/>
      <c r="N948" s="9"/>
      <c r="O948" s="9"/>
      <c r="P948" s="9"/>
      <c r="Q948" s="9"/>
      <c r="R948" s="9"/>
      <c r="S948" s="9"/>
      <c r="T948" s="9"/>
      <c r="U948" s="9"/>
      <c r="V948" s="9"/>
      <c r="W948" s="9"/>
      <c r="X948" s="9"/>
      <c r="Y948" s="9"/>
      <c r="Z948" s="9"/>
      <c r="AA948" s="9"/>
      <c r="AB948" s="9"/>
      <c r="AC948" s="9"/>
      <c r="AD948" s="9"/>
    </row>
    <row r="949" spans="1:30" ht="14.25" customHeight="1">
      <c r="A949" s="11"/>
      <c r="B949" s="12"/>
      <c r="C949" s="12"/>
      <c r="D949" s="12"/>
      <c r="E949" s="12"/>
      <c r="F949" s="12"/>
      <c r="G949" s="12"/>
      <c r="H949" s="12"/>
      <c r="I949" s="12"/>
      <c r="J949" s="12"/>
      <c r="K949" s="13"/>
      <c r="L949" s="9"/>
      <c r="M949" s="9"/>
      <c r="N949" s="9"/>
      <c r="O949" s="9"/>
      <c r="P949" s="9"/>
      <c r="Q949" s="9"/>
      <c r="R949" s="9"/>
      <c r="S949" s="9"/>
      <c r="T949" s="9"/>
      <c r="U949" s="9"/>
      <c r="V949" s="9"/>
      <c r="W949" s="9"/>
      <c r="X949" s="9"/>
      <c r="Y949" s="9"/>
      <c r="Z949" s="9"/>
      <c r="AA949" s="9"/>
      <c r="AB949" s="9"/>
      <c r="AC949" s="9"/>
      <c r="AD949" s="9"/>
    </row>
    <row r="950" spans="1:30" ht="14.25" customHeight="1">
      <c r="A950" s="11"/>
      <c r="B950" s="12"/>
      <c r="C950" s="12"/>
      <c r="D950" s="12"/>
      <c r="E950" s="12"/>
      <c r="F950" s="12"/>
      <c r="G950" s="12"/>
      <c r="H950" s="12"/>
      <c r="I950" s="12"/>
      <c r="J950" s="12"/>
      <c r="K950" s="13"/>
      <c r="L950" s="9"/>
      <c r="M950" s="9"/>
      <c r="N950" s="9"/>
      <c r="O950" s="9"/>
      <c r="P950" s="9"/>
      <c r="Q950" s="9"/>
      <c r="R950" s="9"/>
      <c r="S950" s="9"/>
      <c r="T950" s="9"/>
      <c r="U950" s="9"/>
      <c r="V950" s="9"/>
      <c r="W950" s="9"/>
      <c r="X950" s="9"/>
      <c r="Y950" s="9"/>
      <c r="Z950" s="9"/>
      <c r="AA950" s="9"/>
      <c r="AB950" s="9"/>
      <c r="AC950" s="9"/>
      <c r="AD950" s="9"/>
    </row>
    <row r="951" spans="1:30" ht="14.25" customHeight="1">
      <c r="A951" s="11"/>
      <c r="B951" s="12"/>
      <c r="C951" s="12"/>
      <c r="D951" s="12"/>
      <c r="E951" s="12"/>
      <c r="F951" s="12"/>
      <c r="G951" s="12"/>
      <c r="H951" s="12"/>
      <c r="I951" s="12"/>
      <c r="J951" s="12"/>
      <c r="K951" s="13"/>
      <c r="L951" s="9"/>
      <c r="M951" s="9"/>
      <c r="N951" s="9"/>
      <c r="O951" s="9"/>
      <c r="P951" s="9"/>
      <c r="Q951" s="9"/>
      <c r="R951" s="9"/>
      <c r="S951" s="9"/>
      <c r="T951" s="9"/>
      <c r="U951" s="9"/>
      <c r="V951" s="9"/>
      <c r="W951" s="9"/>
      <c r="X951" s="9"/>
      <c r="Y951" s="9"/>
      <c r="Z951" s="9"/>
      <c r="AA951" s="9"/>
      <c r="AB951" s="9"/>
      <c r="AC951" s="9"/>
      <c r="AD951" s="9"/>
    </row>
    <row r="952" spans="1:30" ht="14.25" customHeight="1">
      <c r="A952" s="11"/>
      <c r="B952" s="12"/>
      <c r="C952" s="12"/>
      <c r="D952" s="12"/>
      <c r="E952" s="12"/>
      <c r="F952" s="12"/>
      <c r="G952" s="12"/>
      <c r="H952" s="12"/>
      <c r="I952" s="12"/>
      <c r="J952" s="12"/>
      <c r="K952" s="13"/>
      <c r="L952" s="9"/>
      <c r="M952" s="9"/>
      <c r="N952" s="9"/>
      <c r="O952" s="9"/>
      <c r="P952" s="9"/>
      <c r="Q952" s="9"/>
      <c r="R952" s="9"/>
      <c r="S952" s="9"/>
      <c r="T952" s="9"/>
      <c r="U952" s="9"/>
      <c r="V952" s="9"/>
      <c r="W952" s="9"/>
      <c r="X952" s="9"/>
      <c r="Y952" s="9"/>
      <c r="Z952" s="9"/>
      <c r="AA952" s="9"/>
      <c r="AB952" s="9"/>
      <c r="AC952" s="9"/>
      <c r="AD952" s="9"/>
    </row>
    <row r="953" spans="1:30" ht="14.25" customHeight="1">
      <c r="A953" s="11"/>
      <c r="B953" s="12"/>
      <c r="C953" s="12"/>
      <c r="D953" s="12"/>
      <c r="E953" s="12"/>
      <c r="F953" s="12"/>
      <c r="G953" s="12"/>
      <c r="H953" s="12"/>
      <c r="I953" s="12"/>
      <c r="J953" s="12"/>
      <c r="K953" s="13"/>
      <c r="L953" s="9"/>
      <c r="M953" s="9"/>
      <c r="N953" s="9"/>
      <c r="O953" s="9"/>
      <c r="P953" s="9"/>
      <c r="Q953" s="9"/>
      <c r="R953" s="9"/>
      <c r="S953" s="9"/>
      <c r="T953" s="9"/>
      <c r="U953" s="9"/>
      <c r="V953" s="9"/>
      <c r="W953" s="9"/>
      <c r="X953" s="9"/>
      <c r="Y953" s="9"/>
      <c r="Z953" s="9"/>
      <c r="AA953" s="9"/>
      <c r="AB953" s="9"/>
      <c r="AC953" s="9"/>
      <c r="AD953" s="9"/>
    </row>
    <row r="954" spans="1:30" ht="14.25" customHeight="1">
      <c r="A954" s="11"/>
      <c r="B954" s="12"/>
      <c r="C954" s="12"/>
      <c r="D954" s="12"/>
      <c r="E954" s="12"/>
      <c r="F954" s="12"/>
      <c r="G954" s="12"/>
      <c r="H954" s="12"/>
      <c r="I954" s="12"/>
      <c r="J954" s="12"/>
      <c r="K954" s="13"/>
      <c r="L954" s="9"/>
      <c r="M954" s="9"/>
      <c r="N954" s="9"/>
      <c r="O954" s="9"/>
      <c r="P954" s="9"/>
      <c r="Q954" s="9"/>
      <c r="R954" s="9"/>
      <c r="S954" s="9"/>
      <c r="T954" s="9"/>
      <c r="U954" s="9"/>
      <c r="V954" s="9"/>
      <c r="W954" s="9"/>
      <c r="X954" s="9"/>
      <c r="Y954" s="9"/>
      <c r="Z954" s="9"/>
      <c r="AA954" s="9"/>
      <c r="AB954" s="9"/>
      <c r="AC954" s="9"/>
      <c r="AD954" s="9"/>
    </row>
    <row r="955" spans="1:30" ht="14.25" customHeight="1">
      <c r="A955" s="11"/>
      <c r="B955" s="12"/>
      <c r="C955" s="12"/>
      <c r="D955" s="12"/>
      <c r="E955" s="12"/>
      <c r="F955" s="12"/>
      <c r="G955" s="12"/>
      <c r="H955" s="12"/>
      <c r="I955" s="12"/>
      <c r="J955" s="12"/>
      <c r="K955" s="13"/>
      <c r="L955" s="9"/>
      <c r="M955" s="9"/>
      <c r="N955" s="9"/>
      <c r="O955" s="9"/>
      <c r="P955" s="9"/>
      <c r="Q955" s="9"/>
      <c r="R955" s="9"/>
      <c r="S955" s="9"/>
      <c r="T955" s="9"/>
      <c r="U955" s="9"/>
      <c r="V955" s="9"/>
      <c r="W955" s="9"/>
      <c r="X955" s="9"/>
      <c r="Y955" s="9"/>
      <c r="Z955" s="9"/>
      <c r="AA955" s="9"/>
      <c r="AB955" s="9"/>
      <c r="AC955" s="9"/>
      <c r="AD955" s="9"/>
    </row>
    <row r="956" spans="1:30" ht="14.25" customHeight="1">
      <c r="A956" s="11"/>
      <c r="B956" s="12"/>
      <c r="C956" s="12"/>
      <c r="D956" s="12"/>
      <c r="E956" s="12"/>
      <c r="F956" s="12"/>
      <c r="G956" s="12"/>
      <c r="H956" s="12"/>
      <c r="I956" s="12"/>
      <c r="J956" s="12"/>
      <c r="K956" s="13"/>
      <c r="L956" s="9"/>
      <c r="M956" s="9"/>
      <c r="N956" s="9"/>
      <c r="O956" s="9"/>
      <c r="P956" s="9"/>
      <c r="Q956" s="9"/>
      <c r="R956" s="9"/>
      <c r="S956" s="9"/>
      <c r="T956" s="9"/>
      <c r="U956" s="9"/>
      <c r="V956" s="9"/>
      <c r="W956" s="9"/>
      <c r="X956" s="9"/>
      <c r="Y956" s="9"/>
      <c r="Z956" s="9"/>
      <c r="AA956" s="9"/>
      <c r="AB956" s="9"/>
      <c r="AC956" s="9"/>
      <c r="AD956" s="9"/>
    </row>
    <row r="957" spans="1:30" ht="14.25" customHeight="1">
      <c r="A957" s="11"/>
      <c r="B957" s="12"/>
      <c r="C957" s="12"/>
      <c r="D957" s="12"/>
      <c r="E957" s="12"/>
      <c r="F957" s="12"/>
      <c r="G957" s="12"/>
      <c r="H957" s="12"/>
      <c r="I957" s="12"/>
      <c r="J957" s="12"/>
      <c r="K957" s="13"/>
      <c r="L957" s="9"/>
      <c r="M957" s="9"/>
      <c r="N957" s="9"/>
      <c r="O957" s="9"/>
      <c r="P957" s="9"/>
      <c r="Q957" s="9"/>
      <c r="R957" s="9"/>
      <c r="S957" s="9"/>
      <c r="T957" s="9"/>
      <c r="U957" s="9"/>
      <c r="V957" s="9"/>
      <c r="W957" s="9"/>
      <c r="X957" s="9"/>
      <c r="Y957" s="9"/>
      <c r="Z957" s="9"/>
      <c r="AA957" s="9"/>
      <c r="AB957" s="9"/>
      <c r="AC957" s="9"/>
      <c r="AD957" s="9"/>
    </row>
    <row r="958" spans="1:30" ht="14.25" customHeight="1">
      <c r="A958" s="11"/>
      <c r="B958" s="12"/>
      <c r="C958" s="12"/>
      <c r="D958" s="12"/>
      <c r="E958" s="12"/>
      <c r="F958" s="12"/>
      <c r="G958" s="12"/>
      <c r="H958" s="12"/>
      <c r="I958" s="12"/>
      <c r="J958" s="12"/>
      <c r="K958" s="13"/>
      <c r="L958" s="9"/>
      <c r="M958" s="9"/>
      <c r="N958" s="9"/>
      <c r="O958" s="9"/>
      <c r="P958" s="9"/>
      <c r="Q958" s="9"/>
      <c r="R958" s="9"/>
      <c r="S958" s="9"/>
      <c r="T958" s="9"/>
      <c r="U958" s="9"/>
      <c r="V958" s="9"/>
      <c r="W958" s="9"/>
      <c r="X958" s="9"/>
      <c r="Y958" s="9"/>
      <c r="Z958" s="9"/>
      <c r="AA958" s="9"/>
      <c r="AB958" s="9"/>
      <c r="AC958" s="9"/>
      <c r="AD958" s="9"/>
    </row>
    <row r="959" spans="1:30" ht="14.25" customHeight="1">
      <c r="A959" s="11"/>
      <c r="B959" s="12"/>
      <c r="C959" s="12"/>
      <c r="D959" s="12"/>
      <c r="E959" s="12"/>
      <c r="F959" s="12"/>
      <c r="G959" s="12"/>
      <c r="H959" s="12"/>
      <c r="I959" s="12"/>
      <c r="J959" s="12"/>
      <c r="K959" s="13"/>
      <c r="L959" s="9"/>
      <c r="M959" s="9"/>
      <c r="N959" s="9"/>
      <c r="O959" s="9"/>
      <c r="P959" s="9"/>
      <c r="Q959" s="9"/>
      <c r="R959" s="9"/>
      <c r="S959" s="9"/>
      <c r="T959" s="9"/>
      <c r="U959" s="9"/>
      <c r="V959" s="9"/>
      <c r="W959" s="9"/>
      <c r="X959" s="9"/>
      <c r="Y959" s="9"/>
      <c r="Z959" s="9"/>
      <c r="AA959" s="9"/>
      <c r="AB959" s="9"/>
      <c r="AC959" s="9"/>
      <c r="AD959" s="9"/>
    </row>
    <row r="960" spans="1:30" ht="14.25" customHeight="1">
      <c r="A960" s="11"/>
      <c r="B960" s="12"/>
      <c r="C960" s="12"/>
      <c r="D960" s="12"/>
      <c r="E960" s="12"/>
      <c r="F960" s="12"/>
      <c r="G960" s="12"/>
      <c r="H960" s="12"/>
      <c r="I960" s="12"/>
      <c r="J960" s="12"/>
      <c r="K960" s="13"/>
      <c r="L960" s="9"/>
      <c r="M960" s="9"/>
      <c r="N960" s="9"/>
      <c r="O960" s="9"/>
      <c r="P960" s="9"/>
      <c r="Q960" s="9"/>
      <c r="R960" s="9"/>
      <c r="S960" s="9"/>
      <c r="T960" s="9"/>
      <c r="U960" s="9"/>
      <c r="V960" s="9"/>
      <c r="W960" s="9"/>
      <c r="X960" s="9"/>
      <c r="Y960" s="9"/>
      <c r="Z960" s="9"/>
      <c r="AA960" s="9"/>
      <c r="AB960" s="9"/>
      <c r="AC960" s="9"/>
      <c r="AD960" s="9"/>
    </row>
    <row r="961" spans="1:30" ht="14.25" customHeight="1">
      <c r="A961" s="11"/>
      <c r="B961" s="12"/>
      <c r="C961" s="12"/>
      <c r="D961" s="12"/>
      <c r="E961" s="12"/>
      <c r="F961" s="12"/>
      <c r="G961" s="12"/>
      <c r="H961" s="12"/>
      <c r="I961" s="12"/>
      <c r="J961" s="12"/>
      <c r="K961" s="13"/>
      <c r="L961" s="9"/>
      <c r="M961" s="9"/>
      <c r="N961" s="9"/>
      <c r="O961" s="9"/>
      <c r="P961" s="9"/>
      <c r="Q961" s="9"/>
      <c r="R961" s="9"/>
      <c r="S961" s="9"/>
      <c r="T961" s="9"/>
      <c r="U961" s="9"/>
      <c r="V961" s="9"/>
      <c r="W961" s="9"/>
      <c r="X961" s="9"/>
      <c r="Y961" s="9"/>
      <c r="Z961" s="9"/>
      <c r="AA961" s="9"/>
      <c r="AB961" s="9"/>
      <c r="AC961" s="9"/>
      <c r="AD961" s="9"/>
    </row>
    <row r="962" spans="1:30" ht="14.25" customHeight="1">
      <c r="A962" s="11"/>
      <c r="B962" s="12"/>
      <c r="C962" s="12"/>
      <c r="D962" s="12"/>
      <c r="E962" s="12"/>
      <c r="F962" s="12"/>
      <c r="G962" s="12"/>
      <c r="H962" s="12"/>
      <c r="I962" s="12"/>
      <c r="J962" s="12"/>
      <c r="K962" s="13"/>
      <c r="L962" s="9"/>
      <c r="M962" s="9"/>
      <c r="N962" s="9"/>
      <c r="O962" s="9"/>
      <c r="P962" s="9"/>
      <c r="Q962" s="9"/>
      <c r="R962" s="9"/>
      <c r="S962" s="9"/>
      <c r="T962" s="9"/>
      <c r="U962" s="9"/>
      <c r="V962" s="9"/>
      <c r="W962" s="9"/>
      <c r="X962" s="9"/>
      <c r="Y962" s="9"/>
      <c r="Z962" s="9"/>
      <c r="AA962" s="9"/>
      <c r="AB962" s="9"/>
      <c r="AC962" s="9"/>
      <c r="AD962" s="9"/>
    </row>
    <row r="963" spans="1:30" ht="14.25" customHeight="1">
      <c r="A963" s="11"/>
      <c r="B963" s="12"/>
      <c r="C963" s="12"/>
      <c r="D963" s="12"/>
      <c r="E963" s="12"/>
      <c r="F963" s="12"/>
      <c r="G963" s="12"/>
      <c r="H963" s="12"/>
      <c r="I963" s="12"/>
      <c r="J963" s="12"/>
      <c r="K963" s="13"/>
      <c r="L963" s="9"/>
      <c r="M963" s="9"/>
      <c r="N963" s="9"/>
      <c r="O963" s="9"/>
      <c r="P963" s="9"/>
      <c r="Q963" s="9"/>
      <c r="R963" s="9"/>
      <c r="S963" s="9"/>
      <c r="T963" s="9"/>
      <c r="U963" s="9"/>
      <c r="V963" s="9"/>
      <c r="W963" s="9"/>
      <c r="X963" s="9"/>
      <c r="Y963" s="9"/>
      <c r="Z963" s="9"/>
      <c r="AA963" s="9"/>
      <c r="AB963" s="9"/>
      <c r="AC963" s="9"/>
      <c r="AD963" s="9"/>
    </row>
    <row r="964" spans="1:30" ht="14.25" customHeight="1">
      <c r="A964" s="11"/>
      <c r="B964" s="12"/>
      <c r="C964" s="12"/>
      <c r="D964" s="12"/>
      <c r="E964" s="12"/>
      <c r="F964" s="12"/>
      <c r="G964" s="12"/>
      <c r="H964" s="12"/>
      <c r="I964" s="12"/>
      <c r="J964" s="12"/>
      <c r="K964" s="13"/>
      <c r="L964" s="9"/>
      <c r="M964" s="9"/>
      <c r="N964" s="9"/>
      <c r="O964" s="9"/>
      <c r="P964" s="9"/>
      <c r="Q964" s="9"/>
      <c r="R964" s="9"/>
      <c r="S964" s="9"/>
      <c r="T964" s="9"/>
      <c r="U964" s="9"/>
      <c r="V964" s="9"/>
      <c r="W964" s="9"/>
      <c r="X964" s="9"/>
      <c r="Y964" s="9"/>
      <c r="Z964" s="9"/>
      <c r="AA964" s="9"/>
      <c r="AB964" s="9"/>
      <c r="AC964" s="9"/>
      <c r="AD964" s="9"/>
    </row>
    <row r="965" spans="1:30" ht="14.25" customHeight="1">
      <c r="A965" s="11"/>
      <c r="B965" s="12"/>
      <c r="C965" s="12"/>
      <c r="D965" s="12"/>
      <c r="E965" s="12"/>
      <c r="F965" s="12"/>
      <c r="G965" s="12"/>
      <c r="H965" s="12"/>
      <c r="I965" s="12"/>
      <c r="J965" s="12"/>
      <c r="K965" s="13"/>
      <c r="L965" s="9"/>
      <c r="M965" s="9"/>
      <c r="N965" s="9"/>
      <c r="O965" s="9"/>
      <c r="P965" s="9"/>
      <c r="Q965" s="9"/>
      <c r="R965" s="9"/>
      <c r="S965" s="9"/>
      <c r="T965" s="9"/>
      <c r="U965" s="9"/>
      <c r="V965" s="9"/>
      <c r="W965" s="9"/>
      <c r="X965" s="9"/>
      <c r="Y965" s="9"/>
      <c r="Z965" s="9"/>
      <c r="AA965" s="9"/>
      <c r="AB965" s="9"/>
      <c r="AC965" s="9"/>
      <c r="AD965" s="9"/>
    </row>
    <row r="966" spans="1:30" ht="14.25" customHeight="1">
      <c r="A966" s="11"/>
      <c r="B966" s="12"/>
      <c r="C966" s="12"/>
      <c r="D966" s="12"/>
      <c r="E966" s="12"/>
      <c r="F966" s="12"/>
      <c r="G966" s="12"/>
      <c r="H966" s="12"/>
      <c r="I966" s="12"/>
      <c r="J966" s="12"/>
      <c r="K966" s="13"/>
      <c r="L966" s="9"/>
      <c r="M966" s="9"/>
      <c r="N966" s="9"/>
      <c r="O966" s="9"/>
      <c r="P966" s="9"/>
      <c r="Q966" s="9"/>
      <c r="R966" s="9"/>
      <c r="S966" s="9"/>
      <c r="T966" s="9"/>
      <c r="U966" s="9"/>
      <c r="V966" s="9"/>
      <c r="W966" s="9"/>
      <c r="X966" s="9"/>
      <c r="Y966" s="9"/>
      <c r="Z966" s="9"/>
      <c r="AA966" s="9"/>
      <c r="AB966" s="9"/>
      <c r="AC966" s="9"/>
      <c r="AD966" s="9"/>
    </row>
    <row r="967" spans="1:30" ht="14.25" customHeight="1">
      <c r="A967" s="11"/>
      <c r="B967" s="12"/>
      <c r="C967" s="12"/>
      <c r="D967" s="12"/>
      <c r="E967" s="12"/>
      <c r="F967" s="12"/>
      <c r="G967" s="12"/>
      <c r="H967" s="12"/>
      <c r="I967" s="12"/>
      <c r="J967" s="12"/>
      <c r="K967" s="13"/>
      <c r="L967" s="9"/>
      <c r="M967" s="9"/>
      <c r="N967" s="9"/>
      <c r="O967" s="9"/>
      <c r="P967" s="9"/>
      <c r="Q967" s="9"/>
      <c r="R967" s="9"/>
      <c r="S967" s="9"/>
      <c r="T967" s="9"/>
      <c r="U967" s="9"/>
      <c r="V967" s="9"/>
      <c r="W967" s="9"/>
      <c r="X967" s="9"/>
      <c r="Y967" s="9"/>
      <c r="Z967" s="9"/>
      <c r="AA967" s="9"/>
      <c r="AB967" s="9"/>
      <c r="AC967" s="9"/>
      <c r="AD967" s="9"/>
    </row>
    <row r="968" spans="1:30" ht="14.25" customHeight="1">
      <c r="A968" s="11"/>
      <c r="B968" s="12"/>
      <c r="C968" s="12"/>
      <c r="D968" s="12"/>
      <c r="E968" s="12"/>
      <c r="F968" s="12"/>
      <c r="G968" s="12"/>
      <c r="H968" s="12"/>
      <c r="I968" s="12"/>
      <c r="J968" s="12"/>
      <c r="K968" s="13"/>
      <c r="L968" s="9"/>
      <c r="M968" s="9"/>
      <c r="N968" s="9"/>
      <c r="O968" s="9"/>
      <c r="P968" s="9"/>
      <c r="Q968" s="9"/>
      <c r="R968" s="9"/>
      <c r="S968" s="9"/>
      <c r="T968" s="9"/>
      <c r="U968" s="9"/>
      <c r="V968" s="9"/>
      <c r="W968" s="9"/>
      <c r="X968" s="9"/>
      <c r="Y968" s="9"/>
      <c r="Z968" s="9"/>
      <c r="AA968" s="9"/>
      <c r="AB968" s="9"/>
      <c r="AC968" s="9"/>
      <c r="AD968" s="9"/>
    </row>
    <row r="969" spans="1:30" ht="14.25" customHeight="1">
      <c r="A969" s="11"/>
      <c r="B969" s="12"/>
      <c r="C969" s="12"/>
      <c r="D969" s="12"/>
      <c r="E969" s="12"/>
      <c r="F969" s="12"/>
      <c r="G969" s="12"/>
      <c r="H969" s="12"/>
      <c r="I969" s="12"/>
      <c r="J969" s="12"/>
      <c r="K969" s="13"/>
      <c r="L969" s="9"/>
      <c r="M969" s="9"/>
      <c r="N969" s="9"/>
      <c r="O969" s="9"/>
      <c r="P969" s="9"/>
      <c r="Q969" s="9"/>
      <c r="R969" s="9"/>
      <c r="S969" s="9"/>
      <c r="T969" s="9"/>
      <c r="U969" s="9"/>
      <c r="V969" s="9"/>
      <c r="W969" s="9"/>
      <c r="X969" s="9"/>
      <c r="Y969" s="9"/>
      <c r="Z969" s="9"/>
      <c r="AA969" s="9"/>
      <c r="AB969" s="9"/>
      <c r="AC969" s="9"/>
      <c r="AD969" s="9"/>
    </row>
    <row r="970" spans="1:30" ht="14.25" customHeight="1">
      <c r="A970" s="11"/>
      <c r="B970" s="12"/>
      <c r="C970" s="12"/>
      <c r="D970" s="12"/>
      <c r="E970" s="12"/>
      <c r="F970" s="12"/>
      <c r="G970" s="12"/>
      <c r="H970" s="12"/>
      <c r="I970" s="12"/>
      <c r="J970" s="12"/>
      <c r="K970" s="13"/>
      <c r="L970" s="9"/>
      <c r="M970" s="9"/>
      <c r="N970" s="9"/>
      <c r="O970" s="9"/>
      <c r="P970" s="9"/>
      <c r="Q970" s="9"/>
      <c r="R970" s="9"/>
      <c r="S970" s="9"/>
      <c r="T970" s="9"/>
      <c r="U970" s="9"/>
      <c r="V970" s="9"/>
      <c r="W970" s="9"/>
      <c r="X970" s="9"/>
      <c r="Y970" s="9"/>
      <c r="Z970" s="9"/>
      <c r="AA970" s="9"/>
      <c r="AB970" s="9"/>
      <c r="AC970" s="9"/>
      <c r="AD970" s="9"/>
    </row>
  </sheetData>
  <mergeCells count="15">
    <mergeCell ref="I44:L44"/>
    <mergeCell ref="A67:A75"/>
    <mergeCell ref="A47:A65"/>
    <mergeCell ref="A76:A113"/>
    <mergeCell ref="A4:C4"/>
    <mergeCell ref="B38:D38"/>
    <mergeCell ref="B39:D39"/>
    <mergeCell ref="B33:D33"/>
    <mergeCell ref="B34:D34"/>
    <mergeCell ref="B35:D35"/>
    <mergeCell ref="B36:D36"/>
    <mergeCell ref="B37:D37"/>
    <mergeCell ref="B41:D41"/>
    <mergeCell ref="B40:D40"/>
    <mergeCell ref="B42:D42"/>
  </mergeCells>
  <hyperlinks>
    <hyperlink ref="A148" r:id="rId1" xr:uid="{C50304AB-256F-A648-B81A-1AF14FB02C80}"/>
    <hyperlink ref="A149" r:id="rId2" xr:uid="{04CA3955-B71C-6E4C-8CB4-FF78C2384595}"/>
    <hyperlink ref="A150" r:id="rId3" xr:uid="{3F5D28C3-6078-EE4E-A2CE-107F8E47923F}"/>
    <hyperlink ref="A1" location="'Table des matières'!A1" display="Retour à la Table des matières" xr:uid="{97AC2E72-C46D-0144-8965-B70138D6E4D6}"/>
    <hyperlink ref="C178" r:id="rId4" xr:uid="{5F93D9D4-62E9-2B43-8369-D5D25B6A3F04}"/>
  </hyperlinks>
  <pageMargins left="0.7" right="0.7" top="0.75" bottom="0.75" header="0.3" footer="0.3"/>
  <pageSetup orientation="portrait" horizontalDpi="0" verticalDpi="0"/>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0D0C6F-C042-584A-8FED-437F9181ED7F}">
  <sheetPr codeName="Sheet11"/>
  <dimension ref="A1:Y1011"/>
  <sheetViews>
    <sheetView zoomScaleNormal="100" workbookViewId="0">
      <selection activeCell="N28" sqref="N28"/>
    </sheetView>
  </sheetViews>
  <sheetFormatPr baseColWidth="10" defaultColWidth="11.1640625" defaultRowHeight="16"/>
  <cols>
    <col min="1" max="1" width="38.1640625" customWidth="1"/>
    <col min="2" max="2" width="16" bestFit="1" customWidth="1"/>
    <col min="3" max="3" width="20.6640625" bestFit="1" customWidth="1"/>
    <col min="4" max="4" width="16" bestFit="1" customWidth="1"/>
    <col min="5" max="5" width="24.83203125" bestFit="1" customWidth="1"/>
    <col min="6" max="6" width="16.83203125" bestFit="1" customWidth="1"/>
    <col min="7" max="7" width="15.83203125" customWidth="1"/>
    <col min="8" max="8" width="17.83203125" customWidth="1"/>
    <col min="9" max="9" width="18.83203125" customWidth="1"/>
    <col min="10" max="10" width="19.1640625" customWidth="1"/>
    <col min="11" max="11" width="18.33203125" bestFit="1" customWidth="1"/>
    <col min="12" max="12" width="12.1640625" customWidth="1"/>
    <col min="13" max="13" width="16.1640625" customWidth="1"/>
    <col min="14" max="14" width="16.5" customWidth="1"/>
    <col min="15" max="16" width="16" customWidth="1"/>
    <col min="17" max="17" width="16.6640625" customWidth="1"/>
    <col min="18" max="18" width="16.5" customWidth="1"/>
  </cols>
  <sheetData>
    <row r="1" spans="1:25">
      <c r="A1" s="501" t="s">
        <v>841</v>
      </c>
    </row>
    <row r="2" spans="1:25" ht="26">
      <c r="A2" s="48" t="s">
        <v>314</v>
      </c>
    </row>
    <row r="3" spans="1:25">
      <c r="H3" s="136"/>
      <c r="I3" s="137"/>
      <c r="J3" s="138"/>
      <c r="K3" s="4"/>
      <c r="L3" s="138"/>
      <c r="M3" s="4"/>
      <c r="N3" s="138"/>
      <c r="O3" s="138"/>
      <c r="P3" s="4"/>
      <c r="Q3" s="4"/>
      <c r="R3" s="4"/>
      <c r="S3" s="4"/>
      <c r="T3" s="4"/>
      <c r="U3" s="4"/>
      <c r="V3" s="4"/>
      <c r="W3" s="4"/>
      <c r="X3" s="4"/>
      <c r="Y3" s="4"/>
    </row>
    <row r="4" spans="1:25">
      <c r="H4" s="132"/>
      <c r="I4" s="132"/>
      <c r="J4" s="132"/>
      <c r="K4" s="132"/>
      <c r="L4" s="132"/>
      <c r="M4" s="132"/>
      <c r="N4" s="132"/>
      <c r="O4" s="132"/>
      <c r="P4" s="132"/>
      <c r="Q4" s="132"/>
      <c r="R4" s="132"/>
      <c r="S4" s="132"/>
      <c r="T4" s="132"/>
      <c r="U4" s="132"/>
      <c r="V4" s="132"/>
      <c r="W4" s="132"/>
      <c r="X4" s="132"/>
      <c r="Y4" s="132"/>
    </row>
    <row r="5" spans="1:25" ht="18" thickBot="1">
      <c r="A5" s="107" t="s">
        <v>317</v>
      </c>
      <c r="B5" s="139" t="s">
        <v>10</v>
      </c>
      <c r="C5" s="140" t="s">
        <v>11</v>
      </c>
      <c r="D5" s="141" t="s">
        <v>12</v>
      </c>
      <c r="E5" s="135" t="s">
        <v>13</v>
      </c>
      <c r="H5" s="132"/>
      <c r="I5" s="132"/>
      <c r="J5" s="132"/>
      <c r="K5" s="132"/>
      <c r="L5" s="132"/>
      <c r="M5" s="132"/>
      <c r="N5" s="132"/>
      <c r="O5" s="132"/>
      <c r="P5" s="132"/>
      <c r="Q5" s="132"/>
      <c r="R5" s="132"/>
      <c r="S5" s="132"/>
      <c r="T5" s="132"/>
      <c r="U5" s="132"/>
      <c r="V5" s="132"/>
      <c r="W5" s="132"/>
      <c r="X5" s="132"/>
      <c r="Y5" s="132"/>
    </row>
    <row r="6" spans="1:25">
      <c r="A6" s="19" t="s">
        <v>318</v>
      </c>
      <c r="B6" s="53" cm="1">
        <f t="array" ref="B6">IF(Bienvenue!G11=1, INDEX(K13:N28,Bienvenue!G10,1), INDEX('Indirect - Villes'!K30:N48,Bienvenue!G11-1,1))</f>
        <v>1328.038005649958</v>
      </c>
      <c r="C6" s="53" cm="1">
        <f t="array" ref="C6">IF(Bienvenue!G11=1, INDEX(K13:N28,Bienvenue!G10,2), INDEX('Indirect - Villes'!K30:N48,Bienvenue!G11-1,2))</f>
        <v>918.81249695826955</v>
      </c>
      <c r="D6" s="53" cm="1">
        <f t="array" ref="D6">IF(Bienvenue!G11=1, INDEX(K13:N28,Bienvenue!G10,3), INDEX('Indirect - Villes'!K30:N48,Bienvenue!G11-1,3))</f>
        <v>696.17637698975477</v>
      </c>
      <c r="E6" s="53" cm="1">
        <f t="array" ref="E6">IF(Bienvenue!G11=1, INDEX(K13:N28,Bienvenue!G10,4), INDEX('Indirect - Villes'!K30:N48,Bienvenue!G11-1,4))</f>
        <v>154.13168862938875</v>
      </c>
      <c r="G6" s="23"/>
      <c r="H6" s="132"/>
      <c r="I6" s="132"/>
      <c r="J6" s="132"/>
      <c r="K6" s="132"/>
      <c r="L6" s="132"/>
      <c r="M6" s="132"/>
      <c r="N6" s="132"/>
      <c r="O6" s="132"/>
      <c r="P6" s="132"/>
      <c r="Q6" s="132"/>
      <c r="R6" s="132"/>
      <c r="S6" s="132"/>
      <c r="T6" s="132"/>
      <c r="U6" s="132"/>
      <c r="V6" s="132"/>
      <c r="W6" s="132"/>
      <c r="X6" s="132"/>
      <c r="Y6" s="132"/>
    </row>
    <row r="7" spans="1:25">
      <c r="A7" s="19" t="s">
        <v>319</v>
      </c>
      <c r="B7" s="53" cm="1">
        <f t="array" ref="B7">IF(Bienvenue!G11=1, INDEX(S13:V28,Bienvenue!G10,1), INDEX('Indirect - Villes'!S30:V48,Bienvenue!G11-1,1))</f>
        <v>432.28628715548291</v>
      </c>
      <c r="C7" s="53" cm="1">
        <f t="array" ref="C7">IF(Bienvenue!G11=1, INDEX(S13:V28,Bienvenue!G10,2), INDEX('Indirect - Villes'!S30:V48,Bienvenue!G11-1,2))</f>
        <v>34.973689282857599</v>
      </c>
      <c r="D7" s="53" cm="1">
        <f t="array" ref="D7">IF(Bienvenue!G11=1, INDEX(S13:V28,Bienvenue!G10,3), INDEX('Indirect - Villes'!S30:V48,Bienvenue!G11-1,3))</f>
        <v>71.748050019198928</v>
      </c>
      <c r="E7" s="53" cm="1">
        <f t="array" ref="E7">IF(Bienvenue!G11=1, INDEX(S13:V28,Bienvenue!G10,4), INDEX('Indirect - Villes'!S30:V48,Bienvenue!G11-1,4))</f>
        <v>55.791450063434027</v>
      </c>
      <c r="H7" s="132"/>
      <c r="I7" s="132"/>
      <c r="J7" s="132"/>
      <c r="K7" s="132"/>
      <c r="L7" s="132"/>
      <c r="M7" s="132"/>
      <c r="N7" s="132"/>
      <c r="O7" s="132"/>
      <c r="P7" s="132"/>
      <c r="Q7" s="132"/>
      <c r="R7" s="132"/>
      <c r="S7" s="132"/>
      <c r="T7" s="132"/>
      <c r="U7" s="132"/>
      <c r="V7" s="132"/>
      <c r="W7" s="132"/>
      <c r="X7" s="132"/>
      <c r="Y7" s="132"/>
    </row>
    <row r="8" spans="1:25">
      <c r="A8" s="19"/>
      <c r="B8" s="53"/>
      <c r="C8" s="53"/>
      <c r="D8" s="53"/>
      <c r="E8" s="53"/>
      <c r="H8" s="132"/>
      <c r="I8" s="132"/>
      <c r="J8" s="132"/>
      <c r="K8" s="132"/>
      <c r="L8" s="132"/>
      <c r="M8" s="132"/>
      <c r="N8" s="132"/>
      <c r="O8" s="132"/>
      <c r="P8" s="132"/>
      <c r="Q8" s="132"/>
      <c r="R8" s="132"/>
      <c r="S8" s="132"/>
      <c r="T8" s="132"/>
      <c r="U8" s="132"/>
      <c r="V8" s="132"/>
      <c r="W8" s="132"/>
      <c r="X8" s="132"/>
      <c r="Y8" s="132"/>
    </row>
    <row r="9" spans="1:25">
      <c r="A9" s="19" t="s">
        <v>933</v>
      </c>
      <c r="B9">
        <v>1.0429999999999999</v>
      </c>
      <c r="H9" s="133"/>
      <c r="I9" s="133"/>
      <c r="J9" s="133"/>
      <c r="K9" s="133"/>
      <c r="L9" s="133"/>
      <c r="M9" s="133"/>
      <c r="N9" s="133"/>
      <c r="O9" s="133"/>
      <c r="P9" s="133"/>
      <c r="Q9" s="133"/>
    </row>
    <row r="10" spans="1:25" ht="16" customHeight="1">
      <c r="F10" s="54"/>
      <c r="H10" s="133"/>
      <c r="I10" s="133"/>
      <c r="J10" s="133"/>
      <c r="K10" s="133"/>
      <c r="L10" s="133"/>
      <c r="M10" s="133"/>
      <c r="N10" s="133"/>
      <c r="O10" s="133"/>
      <c r="P10" s="133"/>
      <c r="Q10" s="133"/>
    </row>
    <row r="11" spans="1:25" ht="24" customHeight="1">
      <c r="A11" s="638" t="s">
        <v>300</v>
      </c>
      <c r="B11" s="713" t="s">
        <v>301</v>
      </c>
      <c r="C11" s="713"/>
      <c r="D11" s="713"/>
      <c r="E11" s="713"/>
      <c r="F11" s="713"/>
      <c r="G11" s="647" t="s">
        <v>310</v>
      </c>
      <c r="H11" s="647"/>
      <c r="I11" s="647"/>
      <c r="J11" s="647"/>
      <c r="K11" s="647" t="s">
        <v>311</v>
      </c>
      <c r="L11" s="647"/>
      <c r="M11" s="647"/>
      <c r="N11" s="647"/>
      <c r="O11" s="647" t="s">
        <v>312</v>
      </c>
      <c r="P11" s="647"/>
      <c r="Q11" s="647"/>
      <c r="R11" s="647"/>
      <c r="S11" s="647" t="s">
        <v>313</v>
      </c>
      <c r="T11" s="647"/>
      <c r="U11" s="647"/>
      <c r="V11" s="647"/>
    </row>
    <row r="12" spans="1:25" ht="34">
      <c r="A12" s="638"/>
      <c r="B12" s="236" t="s">
        <v>302</v>
      </c>
      <c r="C12" s="236" t="s">
        <v>303</v>
      </c>
      <c r="D12" s="236" t="s">
        <v>304</v>
      </c>
      <c r="E12" s="236" t="s">
        <v>305</v>
      </c>
      <c r="F12" s="236" t="s">
        <v>306</v>
      </c>
      <c r="G12" s="237" t="s">
        <v>10</v>
      </c>
      <c r="H12" s="238" t="s">
        <v>11</v>
      </c>
      <c r="I12" s="239" t="s">
        <v>12</v>
      </c>
      <c r="J12" s="71" t="s">
        <v>13</v>
      </c>
      <c r="K12" s="237" t="s">
        <v>10</v>
      </c>
      <c r="L12" s="238" t="s">
        <v>11</v>
      </c>
      <c r="M12" s="239" t="s">
        <v>12</v>
      </c>
      <c r="N12" s="71" t="s">
        <v>13</v>
      </c>
      <c r="O12" s="237" t="s">
        <v>10</v>
      </c>
      <c r="P12" s="238" t="s">
        <v>11</v>
      </c>
      <c r="Q12" s="239" t="s">
        <v>12</v>
      </c>
      <c r="R12" s="71" t="s">
        <v>13</v>
      </c>
      <c r="S12" s="237" t="s">
        <v>10</v>
      </c>
      <c r="T12" s="238" t="s">
        <v>11</v>
      </c>
      <c r="U12" s="239" t="s">
        <v>12</v>
      </c>
      <c r="V12" s="71" t="s">
        <v>13</v>
      </c>
    </row>
    <row r="13" spans="1:25" s="3" customFormat="1">
      <c r="A13" s="241" t="s">
        <v>202</v>
      </c>
      <c r="B13" s="240"/>
      <c r="C13" s="240"/>
      <c r="D13" s="240"/>
      <c r="E13" s="240"/>
      <c r="F13" s="240">
        <f>'Indirect - Budget VdeM'!H37*1000000</f>
        <v>601606723.10386801</v>
      </c>
      <c r="G13" s="242">
        <f>SUM(G14:G28)+'Indirect - Budget VdeM'!F7</f>
        <v>818199528.51947117</v>
      </c>
      <c r="H13" s="242">
        <f>SUM(H14:H28)+'Indirect - Budget VdeM'!G7</f>
        <v>476905965.01688474</v>
      </c>
      <c r="I13" s="242">
        <f>SUM(I14:I28)+'Indirect - Budget VdeM'!H7</f>
        <v>32363975.840946715</v>
      </c>
      <c r="J13" s="242">
        <f>SUM(J14:J28)+'Indirect - Budget VdeM'!I7</f>
        <v>25143141.648384154</v>
      </c>
      <c r="K13" s="242">
        <f>G13/('Clés de répartition'!B50*'Clés de répartition'!$D134)</f>
        <v>1328.038005649958</v>
      </c>
      <c r="L13" s="242">
        <f>H13/('Clés de répartition'!C50*'Clés de répartition'!$D134)</f>
        <v>918.81249695826955</v>
      </c>
      <c r="M13" s="242">
        <f>I13/('Clés de répartition'!D50*'Clés de répartition'!$D134)</f>
        <v>696.17637698975477</v>
      </c>
      <c r="N13" s="242">
        <f>J13/('Clés de répartition'!E50*'Clés de répartition'!$D134)</f>
        <v>154.13168862938875</v>
      </c>
      <c r="O13" s="243">
        <f>SUM(O14:O28)</f>
        <v>266330055.94063967</v>
      </c>
      <c r="P13" s="243">
        <f t="shared" ref="P13:R13" si="0">SUM(P14:P28)</f>
        <v>18152954.04977433</v>
      </c>
      <c r="Q13" s="243">
        <f t="shared" si="0"/>
        <v>3335436.5850459798</v>
      </c>
      <c r="R13" s="243">
        <f t="shared" si="0"/>
        <v>9101128.6789094582</v>
      </c>
      <c r="S13" s="244">
        <f>O13/('Clés de répartition'!B50*'Clés de répartition'!$D134)</f>
        <v>432.28628715548291</v>
      </c>
      <c r="T13" s="244">
        <f>P13/('Clés de répartition'!C50*'Clés de répartition'!$D134)</f>
        <v>34.973689282857599</v>
      </c>
      <c r="U13" s="244">
        <f>Q13/('Clés de répartition'!D50*'Clés de répartition'!$D134)</f>
        <v>71.748050019198928</v>
      </c>
      <c r="V13" s="244">
        <f>R13/('Clés de répartition'!E50*'Clés de répartition'!$D134)</f>
        <v>55.791450063434027</v>
      </c>
    </row>
    <row r="14" spans="1:25">
      <c r="A14" s="19" t="s">
        <v>71</v>
      </c>
      <c r="B14" s="112">
        <v>2759529</v>
      </c>
      <c r="C14" s="112">
        <v>339620</v>
      </c>
      <c r="D14" s="112">
        <v>499249</v>
      </c>
      <c r="E14" s="112">
        <v>57151</v>
      </c>
      <c r="F14" s="112">
        <v>3590272</v>
      </c>
      <c r="G14" s="112">
        <f>($B14*'Clés de répartition'!Q8+$E14+D14*'Clés de répartition'!AC8)*(1-'Clés de répartition'!$B$299)*$B$9</f>
        <v>3149641.6305699688</v>
      </c>
      <c r="H14" s="112">
        <f>'Clés de répartition'!$F$255*'Clés de répartition'!$F$269*(B14*'Clés de répartition'!R8+D14*'Clés de répartition'!AD8+F14)*$B$9</f>
        <v>2230835.3576659686</v>
      </c>
      <c r="I14" s="112">
        <f>'Clés de répartition'!$B$189*($B14*'Clés de répartition'!S8+D14*'Clés de répartition'!AE7)*$B$9</f>
        <v>56973.410488942187</v>
      </c>
      <c r="J14" s="112">
        <f>($B14)*'Clés de répartition'!T8+D14*'Clés de répartition'!AF8*$B$9</f>
        <v>27641.010561864197</v>
      </c>
      <c r="K14" s="432">
        <f>G14/('Clés de répartition'!B51*'Clés de répartition'!$D135)+'Indirect - Budget VdeM'!J$7</f>
        <v>2792.7175314429737</v>
      </c>
      <c r="L14" s="432">
        <f>H14/('Clés de répartition'!C51*'Clés de répartition'!$D135)+'Indirect - Budget VdeM'!K$7</f>
        <v>4385.1369709568899</v>
      </c>
      <c r="M14" s="432">
        <f>I14/('Clés de répartition'!D51*'Clés de répartition'!$D135)+'Indirect - Budget VdeM'!L$7</f>
        <v>2046.6372682945612</v>
      </c>
      <c r="N14" s="432">
        <f>J14/('Clés de répartition'!E51*'Clés de répartition'!$D135)+'Indirect - Budget VdeM'!M$7</f>
        <v>129.50549330602979</v>
      </c>
      <c r="O14" s="112">
        <f>$C14*'Clés de répartition'!AK8*(1-'Clés de répartition'!$B$299)*$B$9</f>
        <v>330006.81497281534</v>
      </c>
      <c r="P14" s="112">
        <f>$C14*'Clés de répartition'!AL8*'Clés de répartition'!$F$255*'Clés de répartition'!$F$269*B$9</f>
        <v>7076.9589207062436</v>
      </c>
      <c r="Q14" s="112">
        <f>$C14*'Clés de répartition'!AM8*'Clés de répartition'!$B$189*$B$9</f>
        <v>0</v>
      </c>
      <c r="R14" s="112">
        <f>$C14*'Clés de répartition'!AN8*$B$9</f>
        <v>3057.3306412246593</v>
      </c>
      <c r="S14" s="433">
        <f>O14/('Clés de répartition'!B51*'Clés de répartition'!$D135)</f>
        <v>286.82445242728659</v>
      </c>
      <c r="T14" s="433">
        <f>P14/('Clés de répartition'!C51*'Clés de répartition'!$D135)</f>
        <v>13.883674887360659</v>
      </c>
      <c r="U14" s="433">
        <f>Q14/('Clés de répartition'!D51*'Clés de répartition'!$D135)</f>
        <v>0</v>
      </c>
      <c r="V14" s="433">
        <f>R14/('Clés de répartition'!E51*'Clés de répartition'!$D135)</f>
        <v>13.650422926008872</v>
      </c>
    </row>
    <row r="15" spans="1:25">
      <c r="A15" s="19" t="s">
        <v>72</v>
      </c>
      <c r="B15" s="112">
        <v>2843855</v>
      </c>
      <c r="C15" s="67">
        <v>1439259</v>
      </c>
      <c r="D15" s="67">
        <v>308759</v>
      </c>
      <c r="E15" s="67">
        <v>419734</v>
      </c>
      <c r="F15" s="67">
        <v>5562968</v>
      </c>
      <c r="G15" s="112">
        <f>($B15*'Clés de répartition'!Q9+$E15+D15*'Clés de répartition'!AC9)*(1-'Clés de répartition'!$B$299)*$B$9</f>
        <v>3345976.7978225658</v>
      </c>
      <c r="H15" s="112">
        <f>'Clés de répartition'!$F$255*'Clés de répartition'!$F$269*(B15*'Clés de répartition'!R9+D15*'Clés de répartition'!AD9+F15)*$B$9</f>
        <v>3418544.2122394023</v>
      </c>
      <c r="I15" s="112">
        <f>'Clés de répartition'!$B$189*($B15*'Clés de répartition'!S9+D15*'Clés de répartition'!AE8)*$B$9</f>
        <v>109755.50678114385</v>
      </c>
      <c r="J15" s="112">
        <f>($B15)*'Clés de répartition'!T9+D15*'Clés de répartition'!AF9*$B$9</f>
        <v>5603.7670776476689</v>
      </c>
      <c r="K15" s="432">
        <f>G15/('Clés de répartition'!B52*'Clés de répartition'!$D136)+'Indirect - Budget VdeM'!J$7</f>
        <v>529.54441106046659</v>
      </c>
      <c r="L15" s="432">
        <f>H15/('Clés de répartition'!C52*'Clés de répartition'!$D136)+'Indirect - Budget VdeM'!K$7</f>
        <v>1029.7328286534587</v>
      </c>
      <c r="M15" s="432">
        <f>I15/('Clés de répartition'!D52*'Clés de répartition'!$D136)+'Indirect - Budget VdeM'!L$7</f>
        <v>1640.4563753505201</v>
      </c>
      <c r="N15" s="432">
        <f>J15/('Clés de répartition'!E52*'Clés de répartition'!$D136)+'Indirect - Budget VdeM'!M$7</f>
        <v>27.931579371035241</v>
      </c>
      <c r="O15" s="112">
        <f>$C15*'Clés de répartition'!AK9*(1-'Clés de répartition'!$B$299)*$B$9</f>
        <v>1406433.5450220718</v>
      </c>
      <c r="P15" s="112">
        <f>$C15*'Clés de répartition'!AL9*'Clés de répartition'!$F$255*'Clés de répartition'!$F$269*B$9</f>
        <v>31161.712914198888</v>
      </c>
      <c r="Q15" s="112">
        <f>$C15*'Clés de répartition'!AM9*'Clés de répartition'!$B$189*$B$9</f>
        <v>0</v>
      </c>
      <c r="R15" s="112">
        <f>$C15*'Clés de répartition'!AN9*$B$9</f>
        <v>2803.733293142348</v>
      </c>
      <c r="S15" s="433">
        <f>O15/('Clés de répartition'!B52*'Clés de répartition'!$D136)</f>
        <v>199.37726623708238</v>
      </c>
      <c r="T15" s="433">
        <f>P15/('Clés de répartition'!C52*'Clés de répartition'!$D136)</f>
        <v>9.3076394302069581</v>
      </c>
      <c r="U15" s="433">
        <f>Q15/('Clés de répartition'!D52*'Clés de répartition'!$D136)</f>
        <v>0</v>
      </c>
      <c r="V15" s="433">
        <f>R15/('Clés de répartition'!E52*'Clés de répartition'!$D136)</f>
        <v>10.926283533571432</v>
      </c>
      <c r="W15" s="142"/>
      <c r="X15" s="142"/>
      <c r="Y15" s="142"/>
    </row>
    <row r="16" spans="1:25">
      <c r="A16" s="19" t="s">
        <v>73</v>
      </c>
      <c r="B16" s="156">
        <v>5529334</v>
      </c>
      <c r="C16" s="156">
        <v>4031253</v>
      </c>
      <c r="D16" s="156">
        <v>805309</v>
      </c>
      <c r="E16" s="156">
        <v>0</v>
      </c>
      <c r="F16" s="156">
        <v>7129985</v>
      </c>
      <c r="G16" s="112">
        <f>($B16*'Clés de répartition'!Q10+$E16+D16*'Clés de répartition'!AC10)*(1-'Clés de répartition'!$B$299)*$B$9</f>
        <v>5590170.2852306925</v>
      </c>
      <c r="H16" s="112">
        <f>'Clés de répartition'!$F$255*'Clés de répartition'!$F$269*(B16*'Clés de répartition'!R10+D16*'Clés de répartition'!AD10+F16)*$B$9</f>
        <v>4640184.75347484</v>
      </c>
      <c r="I16" s="112">
        <f>'Clés de répartition'!$B$189*($B16*'Clés de répartition'!S10+D16*'Clés de répartition'!AE9)*$B$9</f>
        <v>163267.64890273375</v>
      </c>
      <c r="J16" s="112">
        <f>($B16)*'Clés de répartition'!T10+D16*'Clés de répartition'!AF10*$B$9</f>
        <v>56066.331884184649</v>
      </c>
      <c r="K16" s="432">
        <f>G16/('Clés de répartition'!B53*'Clés de répartition'!$D137)+'Indirect - Budget VdeM'!J$7</f>
        <v>574.23875158406713</v>
      </c>
      <c r="L16" s="432">
        <f>H16/('Clés de répartition'!C53*'Clés de répartition'!$D137)+'Indirect - Budget VdeM'!K$7</f>
        <v>712.41750812230521</v>
      </c>
      <c r="M16" s="432">
        <f>I16/('Clés de répartition'!D53*'Clés de répartition'!$D137)+'Indirect - Budget VdeM'!L$7</f>
        <v>1253.4763535006705</v>
      </c>
      <c r="N16" s="432">
        <f>J16/('Clés de répartition'!E53*'Clés de répartition'!$D137)+'Indirect - Budget VdeM'!M$7</f>
        <v>87.525788740254484</v>
      </c>
      <c r="O16" s="112">
        <f>$C16*'Clés de répartition'!AK10*(1-'Clés de répartition'!$B$299)*$B$9</f>
        <v>3678123.6630641562</v>
      </c>
      <c r="P16" s="112">
        <f>$C16*'Clés de répartition'!AL10*'Clés de répartition'!$F$255*'Clés de répartition'!$F$269*B$9</f>
        <v>224755.85352277363</v>
      </c>
      <c r="Q16" s="112">
        <f>$C16*'Clés de répartition'!AM10*'Clés de répartition'!$B$189*$B$9</f>
        <v>0</v>
      </c>
      <c r="R16" s="112">
        <f>$C16*'Clés de répartition'!AN10*$B$9</f>
        <v>38266.847501979588</v>
      </c>
      <c r="S16" s="433">
        <f>O16/('Clés de répartition'!B53*'Clés de répartition'!$D137)</f>
        <v>341.49777179353703</v>
      </c>
      <c r="T16" s="433">
        <f>P16/('Clés de répartition'!C53*'Clés de répartition'!$D137)</f>
        <v>34.088093446524361</v>
      </c>
      <c r="U16" s="433">
        <f>Q16/('Clés de répartition'!D53*'Clés de répartition'!$D137)</f>
        <v>0</v>
      </c>
      <c r="V16" s="433">
        <f>R16/('Clés de répartition'!E53*'Clés de répartition'!$D137)</f>
        <v>55.579874218837872</v>
      </c>
      <c r="W16" s="142"/>
      <c r="X16" s="142"/>
      <c r="Y16" s="142"/>
    </row>
    <row r="17" spans="1:25">
      <c r="A17" s="19" t="s">
        <v>74</v>
      </c>
      <c r="B17" s="112">
        <v>7564332</v>
      </c>
      <c r="C17" s="112">
        <v>6049006</v>
      </c>
      <c r="D17" s="112">
        <v>832897</v>
      </c>
      <c r="E17" s="112">
        <v>758759</v>
      </c>
      <c r="F17" s="112">
        <v>10624611</v>
      </c>
      <c r="G17" s="112">
        <f>($B17*'Clés de répartition'!Q11+$E17+D17*'Clés de répartition'!AC11)*(1-'Clés de répartition'!$B$299)*$B$9</f>
        <v>8977103.5876160618</v>
      </c>
      <c r="H17" s="112">
        <f>'Clés de répartition'!$F$255*'Clés de répartition'!$F$269*(B17*'Clés de répartition'!R11+D17*'Clés de répartition'!AD11+F17)*$B$9</f>
        <v>6533745.5606612898</v>
      </c>
      <c r="I17" s="112">
        <f>'Clés de répartition'!$B$189*($B17*'Clés de répartition'!S11+D17*'Clés de répartition'!AE10)*$B$9</f>
        <v>71038.507378972063</v>
      </c>
      <c r="J17" s="112">
        <f>($B17)*'Clés de répartition'!T11+D17*'Clés de répartition'!AF11*$B$9</f>
        <v>15844.872979724951</v>
      </c>
      <c r="K17" s="432">
        <f>G17/('Clés de répartition'!B54*'Clés de répartition'!$D138)+'Indirect - Budget VdeM'!J$7</f>
        <v>476.33563025329073</v>
      </c>
      <c r="L17" s="432">
        <f>H17/('Clés de répartition'!C54*'Clés de répartition'!$D138)+'Indirect - Budget VdeM'!K$7</f>
        <v>956.19341972395534</v>
      </c>
      <c r="M17" s="432">
        <f>I17/('Clés de répartition'!D54*'Clés de répartition'!$D138)+'Indirect - Budget VdeM'!L$7</f>
        <v>1065.2918042892125</v>
      </c>
      <c r="N17" s="432">
        <f>J17/('Clés de répartition'!E54*'Clés de répartition'!$D138)+'Indirect - Budget VdeM'!M$7</f>
        <v>29.218288190697578</v>
      </c>
      <c r="O17" s="112">
        <f>$C17*'Clés de répartition'!AK11*(1-'Clés de répartition'!$B$299)*$B$9</f>
        <v>5974160.7519288249</v>
      </c>
      <c r="P17" s="112">
        <f>$C17*'Clés de répartition'!AL11*'Clés de répartition'!$F$255*'Clés de répartition'!$F$269*B$9</f>
        <v>93386.213635513443</v>
      </c>
      <c r="Q17" s="112">
        <f>$C17*'Clés de répartition'!AM11*'Clés de répartition'!$B$189*$B$9</f>
        <v>0</v>
      </c>
      <c r="R17" s="112">
        <f>$C17*'Clés de répartition'!AN11*$B$9</f>
        <v>11980.025654461146</v>
      </c>
      <c r="S17" s="433">
        <f>O17/('Clés de répartition'!B54*'Clés de répartition'!$D138)</f>
        <v>280.25049436878078</v>
      </c>
      <c r="T17" s="433">
        <f>P17/('Clés de répartition'!C54*'Clés de répartition'!$D138)</f>
        <v>13.543097533801953</v>
      </c>
      <c r="U17" s="433">
        <f>Q17/('Clés de répartition'!D54*'Clés de répartition'!$D138)</f>
        <v>0</v>
      </c>
      <c r="V17" s="433">
        <f>R17/('Clés de répartition'!E54*'Clés de répartition'!$D138)</f>
        <v>17.484292939408888</v>
      </c>
      <c r="W17" s="142"/>
      <c r="X17" s="142"/>
      <c r="Y17" s="142"/>
    </row>
    <row r="18" spans="1:25">
      <c r="A18" s="19" t="s">
        <v>75</v>
      </c>
      <c r="B18" s="112">
        <v>12561495</v>
      </c>
      <c r="C18" s="112">
        <v>3744142</v>
      </c>
      <c r="D18" s="112">
        <v>765726</v>
      </c>
      <c r="E18" s="112">
        <v>656708</v>
      </c>
      <c r="F18" s="112">
        <v>16487383</v>
      </c>
      <c r="G18" s="112">
        <f>($B18*'Clés de répartition'!Q12+$E18+D18*'Clés de répartition'!AC12)*(1-'Clés de répartition'!$B$299)*$B$9</f>
        <v>13168416.062601361</v>
      </c>
      <c r="H18" s="112">
        <f>'Clés de répartition'!$F$255*'Clés de répartition'!$F$269*(B18*'Clés de répartition'!R12+D18*'Clés de répartition'!AD12+F18)*$B$9</f>
        <v>10373491.686125655</v>
      </c>
      <c r="I18" s="112">
        <f>'Clés de répartition'!$B$189*($B18*'Clés de répartition'!S12+D18*'Clés de répartition'!AE11)*$B$9</f>
        <v>153651.88690979278</v>
      </c>
      <c r="J18" s="112">
        <f>($B18)*'Clés de répartition'!T12+D18*'Clés de répartition'!AF12*$B$9</f>
        <v>78908.552221209713</v>
      </c>
      <c r="K18" s="432">
        <f>G18/('Clés de répartition'!B55*'Clés de répartition'!$D139)+'Indirect - Budget VdeM'!J$7</f>
        <v>1574.1024867777153</v>
      </c>
      <c r="L18" s="432">
        <f>H18/('Clés de répartition'!C55*'Clés de répartition'!$D139)+'Indirect - Budget VdeM'!K$7</f>
        <v>3232.0463333252437</v>
      </c>
      <c r="M18" s="432">
        <f>I18/('Clés de répartition'!D55*'Clés de répartition'!$D139)+'Indirect - Budget VdeM'!L$7</f>
        <v>1227.8208912130342</v>
      </c>
      <c r="N18" s="432">
        <f>J18/('Clés de répartition'!E55*'Clés de répartition'!$D139)+'Indirect - Budget VdeM'!M$7</f>
        <v>159.04754754710055</v>
      </c>
      <c r="O18" s="112">
        <f>$C18*'Clés de répartition'!AK12*(1-'Clés de répartition'!$B$299)*$B$9</f>
        <v>3571017.6652137022</v>
      </c>
      <c r="P18" s="112">
        <f>$C18*'Clés de répartition'!AL12*'Clés de répartition'!$F$255*'Clés de répartition'!$F$269*B$9</f>
        <v>123807.02278552188</v>
      </c>
      <c r="Q18" s="112">
        <f>$C18*'Clés de répartition'!AM12*'Clés de répartition'!$B$189*$B$9</f>
        <v>0</v>
      </c>
      <c r="R18" s="112">
        <f>$C18*'Clés de répartition'!AN12*$B$9</f>
        <v>23451.688428065103</v>
      </c>
      <c r="S18" s="433">
        <f>O18/('Clés de répartition'!B55*'Clés de répartition'!$D139)</f>
        <v>411.89245979206896</v>
      </c>
      <c r="T18" s="433">
        <f>P18/('Clés de répartition'!C55*'Clés de répartition'!$D139)</f>
        <v>38.471005342415054</v>
      </c>
      <c r="U18" s="433">
        <f>Q18/('Clés de répartition'!D55*'Clés de répartition'!$D139)</f>
        <v>0</v>
      </c>
      <c r="V18" s="433">
        <f>R18/('Clés de répartition'!E55*'Clés de répartition'!$D139)</f>
        <v>45.458093198153506</v>
      </c>
    </row>
    <row r="19" spans="1:25">
      <c r="A19" s="19" t="s">
        <v>76</v>
      </c>
      <c r="B19" s="112">
        <v>3722546</v>
      </c>
      <c r="C19" s="112">
        <v>1166265</v>
      </c>
      <c r="D19" s="112">
        <v>209570</v>
      </c>
      <c r="E19" s="112">
        <v>74319</v>
      </c>
      <c r="F19" s="112">
        <v>2842660</v>
      </c>
      <c r="G19" s="112">
        <f>($B19*'Clés de répartition'!Q13+$E19+D19*'Clés de répartition'!AC13)*(1-'Clés de répartition'!$B$299)*$B$9</f>
        <v>3487275.2455206569</v>
      </c>
      <c r="H19" s="112">
        <f>'Clés de répartition'!$F$255*'Clés de répartition'!$F$269*(B19*'Clés de répartition'!R13+D19*'Clés de répartition'!AD13+F19)*$B$9</f>
        <v>2009519.9839510771</v>
      </c>
      <c r="I19" s="112">
        <f>'Clés de répartition'!$B$189*($B19*'Clés de répartition'!S13+D19*'Clés de répartition'!AE12)*$B$9</f>
        <v>11428.865282231276</v>
      </c>
      <c r="J19" s="112">
        <f>($B19)*'Clés de répartition'!T13+D19*'Clés de répartition'!AF13*$B$9</f>
        <v>70340.924829424694</v>
      </c>
      <c r="K19" s="432">
        <f>G19/('Clés de répartition'!B56*'Clés de répartition'!$D140)+'Indirect - Budget VdeM'!J$7</f>
        <v>1885.7142382790648</v>
      </c>
      <c r="L19" s="432">
        <f>H19/('Clés de répartition'!C56*'Clés de répartition'!$D140)+'Indirect - Budget VdeM'!K$7</f>
        <v>1076.3192273900395</v>
      </c>
      <c r="M19" s="432">
        <f>I19/('Clés de répartition'!D56*'Clés de répartition'!$D140)+'Indirect - Budget VdeM'!L$7</f>
        <v>606.97889062334934</v>
      </c>
      <c r="N19" s="432">
        <f>J19/('Clés de répartition'!E56*'Clés de répartition'!$D140)+'Indirect - Budget VdeM'!M$7</f>
        <v>262.70084819383175</v>
      </c>
      <c r="O19" s="112">
        <f>$C19*'Clés de répartition'!AK13*(1-'Clés de répartition'!$B$299)*$B$9</f>
        <v>1015017.192463922</v>
      </c>
      <c r="P19" s="112">
        <f>$C19*'Clés de répartition'!AL13*'Clés de répartition'!$F$255*'Clés de répartition'!$F$269*B$9</f>
        <v>87974.575436966974</v>
      </c>
      <c r="Q19" s="112">
        <f>$C19*'Clés de répartition'!AM13*'Clés de répartition'!$B$189*$B$9</f>
        <v>0</v>
      </c>
      <c r="R19" s="112">
        <f>$C19*'Clés de répartition'!AN13*$B$9</f>
        <v>21776.4999960116</v>
      </c>
      <c r="S19" s="433">
        <f>O19/('Clés de répartition'!B56*'Clés de répartition'!$D140)</f>
        <v>532.79058331766578</v>
      </c>
      <c r="T19" s="433">
        <f>P19/('Clés de répartition'!C56*'Clés de répartition'!$D140)</f>
        <v>46.741226032992323</v>
      </c>
      <c r="U19" s="433">
        <f>Q19/('Clés de répartition'!D56*'Clés de répartition'!$D140)</f>
        <v>0</v>
      </c>
      <c r="V19" s="433">
        <f>R19/('Clés de répartition'!E56*'Clés de répartition'!$D140)</f>
        <v>79.441825174056106</v>
      </c>
      <c r="W19" s="143"/>
      <c r="X19" s="143"/>
      <c r="Y19" s="143"/>
    </row>
    <row r="20" spans="1:25">
      <c r="A20" s="19" t="s">
        <v>77</v>
      </c>
      <c r="B20" s="112">
        <v>9504644</v>
      </c>
      <c r="C20" s="112">
        <v>1503230</v>
      </c>
      <c r="D20" s="112">
        <v>592041</v>
      </c>
      <c r="E20" s="112">
        <v>235938</v>
      </c>
      <c r="F20" s="112">
        <v>8449580</v>
      </c>
      <c r="G20" s="112">
        <f>($B20*'Clés de répartition'!Q14+$E20+D20*'Clés de répartition'!AC14)*(1-'Clés de répartition'!$B$299)*$B$9</f>
        <v>10163661.442323869</v>
      </c>
      <c r="H20" s="112">
        <f>'Clés de répartition'!$F$255*'Clés de répartition'!$F$269*(B20*'Clés de répartition'!R14+D20*'Clés de répartition'!AD14+F20)*$B$9</f>
        <v>5250220.5222476833</v>
      </c>
      <c r="I20" s="112">
        <f>'Clés de répartition'!$B$189*($B20*'Clés de répartition'!S14+D20*'Clés de répartition'!AE13)*$B$9</f>
        <v>39001.916554267889</v>
      </c>
      <c r="J20" s="112">
        <f>($B20)*'Clés de répartition'!T14+D20*'Clés de répartition'!AF14*$B$9</f>
        <v>9342.8976875529079</v>
      </c>
      <c r="K20" s="432">
        <f>G20/('Clés de répartition'!B57*'Clés de répartition'!$D141)+'Indirect - Budget VdeM'!J$7</f>
        <v>1227.2816347221919</v>
      </c>
      <c r="L20" s="432">
        <f>H20/('Clés de répartition'!C57*'Clés de répartition'!$D141)+'Indirect - Budget VdeM'!K$7</f>
        <v>1778.2763724475476</v>
      </c>
      <c r="M20" s="432">
        <f>I20/('Clés de répartition'!D57*'Clés de répartition'!$D141)+'Indirect - Budget VdeM'!L$7</f>
        <v>2699.5855476750239</v>
      </c>
      <c r="N20" s="432">
        <f>J20/('Clés de répartition'!E57*'Clés de répartition'!$D141)+'Indirect - Budget VdeM'!M$7</f>
        <v>71.901054333933089</v>
      </c>
      <c r="O20" s="112">
        <f>$C20*'Clés de répartition'!AK14*(1-'Clés de répartition'!$B$299)*$B$9</f>
        <v>1485845.5333627595</v>
      </c>
      <c r="P20" s="112">
        <f>$C20*'Clés de répartition'!AL14*'Clés de répartition'!$F$255*'Clés de répartition'!$F$269*B$9</f>
        <v>23365.525330830285</v>
      </c>
      <c r="Q20" s="112">
        <f>$C20*'Clés de répartition'!AM14*'Clés de répartition'!$B$189*$B$9</f>
        <v>0</v>
      </c>
      <c r="R20" s="112">
        <f>$C20*'Clés de répartition'!AN14*$B$9</f>
        <v>1455.314647835758</v>
      </c>
      <c r="S20" s="433">
        <f>O20/('Clés de répartition'!B57*'Clés de répartition'!$D141)</f>
        <v>171.34659927208676</v>
      </c>
      <c r="T20" s="433">
        <f>P20/('Clés de répartition'!C57*'Clés de répartition'!$D141)</f>
        <v>7.8755101578942019</v>
      </c>
      <c r="U20" s="433">
        <f>Q20/('Clés de répartition'!D57*'Clés de répartition'!$D141)</f>
        <v>0</v>
      </c>
      <c r="V20" s="433">
        <f>R20/('Clés de répartition'!E57*'Clés de répartition'!$D141)</f>
        <v>10.250652807176131</v>
      </c>
      <c r="W20" s="143"/>
      <c r="X20" s="143"/>
      <c r="Y20" s="143"/>
    </row>
    <row r="21" spans="1:25">
      <c r="A21" s="19" t="s">
        <v>79</v>
      </c>
      <c r="B21" s="712" t="s">
        <v>822</v>
      </c>
      <c r="C21" s="712"/>
      <c r="D21" s="712"/>
      <c r="E21" s="712"/>
      <c r="F21" s="234">
        <f>F13-SUM('Indirect - Villes'!F14:F20)-SUM('Indirect - Villes'!F22:F28)</f>
        <v>497418873.10386801</v>
      </c>
      <c r="G21" s="234">
        <f>'Indirect - Budget VdeM'!F8+'Indirect - Budget VdeM'!F9</f>
        <v>683932899.11034918</v>
      </c>
      <c r="H21" s="234">
        <f>'Indirect - Budget VdeM'!G8+'Indirect - Budget VdeM'!G9</f>
        <v>405723753.57851088</v>
      </c>
      <c r="I21" s="234">
        <f>'Indirect - Budget VdeM'!H8+'Indirect - Budget VdeM'!H9</f>
        <v>14526978.958550513</v>
      </c>
      <c r="J21" s="234">
        <f>'Indirect - Budget VdeM'!I8+'Indirect - Budget VdeM'!I9</f>
        <v>22853580.225591876</v>
      </c>
      <c r="K21" s="432">
        <f>G21/('Clés de répartition'!B58*'Clés de répartition'!$D142)+'Indirect - Budget VdeM'!J7</f>
        <v>1355.8727494356838</v>
      </c>
      <c r="L21" s="432">
        <f>H21/('Clés de répartition'!C58*'Clés de répartition'!$D142)+'Indirect - Budget VdeM'!K7</f>
        <v>857.17001846050255</v>
      </c>
      <c r="M21" s="432">
        <f>I21/('Clés de répartition'!D58*'Clés de répartition'!$D142)+'Indirect - Budget VdeM'!L7</f>
        <v>686.01112101616127</v>
      </c>
      <c r="N21" s="432">
        <f>J21/('Clés de répartition'!E58*'Clés de répartition'!$D142)+'Indirect - Budget VdeM'!M7</f>
        <v>152.70617806161661</v>
      </c>
      <c r="O21" s="112">
        <f>'Indirect - Budget VdeM'!F30</f>
        <v>235896516.37254098</v>
      </c>
      <c r="P21" s="112">
        <f>'Indirect - Budget VdeM'!G30</f>
        <v>16888431.609656602</v>
      </c>
      <c r="Q21" s="112">
        <f>'Indirect - Budget VdeM'!H30</f>
        <v>3323607.8005595589</v>
      </c>
      <c r="R21" s="112">
        <f>'Indirect - Budget VdeM'!I30</f>
        <v>8716618.4509564172</v>
      </c>
      <c r="S21" s="433">
        <f>O21/('Clés de répartition'!B58*'Clés de répartition'!$D142)</f>
        <v>448.61191785488739</v>
      </c>
      <c r="T21" s="433">
        <f>P21/('Clés de répartition'!C58*'Clés de répartition'!$D142)</f>
        <v>35.319871953089987</v>
      </c>
      <c r="U21" s="433">
        <f>Q21/('Clés de répartition'!D58*'Clés de répartition'!$D142)</f>
        <v>74.225844616996241</v>
      </c>
      <c r="V21" s="433">
        <f>R21/('Clés de répartition'!E58*'Clés de répartition'!$D142)</f>
        <v>55.919789237830194</v>
      </c>
      <c r="W21" s="143"/>
      <c r="X21" s="143"/>
      <c r="Y21" s="143"/>
    </row>
    <row r="22" spans="1:25">
      <c r="A22" s="87" t="s">
        <v>80</v>
      </c>
      <c r="B22" s="112">
        <v>7687878</v>
      </c>
      <c r="C22" s="112">
        <v>1647252</v>
      </c>
      <c r="D22" s="112">
        <v>235474</v>
      </c>
      <c r="E22" s="112">
        <v>303785</v>
      </c>
      <c r="F22" s="112">
        <v>0</v>
      </c>
      <c r="G22" s="112">
        <f>($B22*'Clés de répartition'!Q16+$E22+D22*'Clés de répartition'!AC16)*(1-'Clés de répartition'!$B$299)*$B$9</f>
        <v>7780918.8398201559</v>
      </c>
      <c r="H22" s="112">
        <f>'Clés de répartition'!$F$255*'Clés de répartition'!$F$269*(B22*'Clés de répartition'!R16+D22*'Clés de répartition'!AD16+F22)*$B$9</f>
        <v>267161.35819282196</v>
      </c>
      <c r="I22" s="112">
        <f>'Clés de répartition'!$B$189*($B22*'Clés de répartition'!S16+D22*'Clés de répartition'!AE15)*$B$9</f>
        <v>26067.458962526529</v>
      </c>
      <c r="J22" s="112">
        <f>($B22)*'Clés de répartition'!T16+D22*'Clés de répartition'!AF16*$B$9</f>
        <v>91370.065330697311</v>
      </c>
      <c r="K22" s="432">
        <f>G22/('Clés de répartition'!B59*'Clés de répartition'!$D143)+'Indirect - Budget VdeM'!J$7</f>
        <v>4160.2493383947876</v>
      </c>
      <c r="L22" s="432">
        <f>H22/('Clés de répartition'!C59*'Clés de répartition'!$D143)+'Indirect - Budget VdeM'!K$7</f>
        <v>277.89858188505787</v>
      </c>
      <c r="M22" s="432">
        <f>I22/('Clés de répartition'!D59*'Clés de répartition'!$D143)+'Indirect - Budget VdeM'!L$7</f>
        <v>1683.6994297304623</v>
      </c>
      <c r="N22" s="432">
        <f>J22/('Clés de répartition'!E59*'Clés de répartition'!$D143)+'Indirect - Budget VdeM'!M$7</f>
        <v>362.68988698601771</v>
      </c>
      <c r="O22" s="112">
        <f>$C22*'Clés de répartition'!AK16*(1-'Clés de répartition'!$B$299)*$B$9</f>
        <v>1559613.2156603301</v>
      </c>
      <c r="P22" s="112">
        <f>$C22*'Clés de répartition'!AL16*'Clés de répartition'!$F$255*'Clés de répartition'!$F$269</f>
        <v>53462.06635947981</v>
      </c>
      <c r="Q22" s="112">
        <f>$C22*'Clés de répartition'!AM16*'Clés de répartition'!$B$189</f>
        <v>0</v>
      </c>
      <c r="R22" s="112">
        <f>$C22*'Clés de répartition'!AN16</f>
        <v>19046.332011218896</v>
      </c>
      <c r="S22" s="433">
        <f>O22/('Clés de répartition'!B59*'Clés de répartition'!$D143)</f>
        <v>822.81601053917177</v>
      </c>
      <c r="T22" s="433">
        <f>P22/('Clés de répartition'!C59*'Clés de répartition'!$D143)</f>
        <v>53.879017805284235</v>
      </c>
      <c r="U22" s="433">
        <f>Q22/('Clés de répartition'!D59*'Clés de répartition'!$D143)</f>
        <v>0</v>
      </c>
      <c r="V22" s="433">
        <f>R22/('Clés de répartition'!E59*'Clés de répartition'!$D143)</f>
        <v>74.333475622996744</v>
      </c>
    </row>
    <row r="23" spans="1:25" ht="17">
      <c r="A23" s="66" t="s">
        <v>81</v>
      </c>
      <c r="B23" s="112">
        <v>3388793</v>
      </c>
      <c r="C23" s="112">
        <v>771847</v>
      </c>
      <c r="D23" s="112">
        <v>116959</v>
      </c>
      <c r="E23" s="112">
        <v>39927</v>
      </c>
      <c r="F23" s="112">
        <v>1640246</v>
      </c>
      <c r="G23" s="112">
        <f>($B23*'Clés de répartition'!Q17+$E23+D23*'Clés de répartition'!AC17)*(1-'Clés de répartition'!$B$299)*$B$9</f>
        <v>2994077.1394562372</v>
      </c>
      <c r="H23" s="112">
        <f>'Clés de répartition'!$F$255*'Clés de répartition'!$F$269*(B23*'Clés de répartition'!R17+D23*'Clés de répartition'!AD17+F23)*$B$9</f>
        <v>1286752.0235360102</v>
      </c>
      <c r="I23" s="112">
        <f>'Clés de répartition'!$B$189*($B23*'Clés de répartition'!S17+D23*'Clés de répartition'!AE16)*$B$9</f>
        <v>34832.550750812894</v>
      </c>
      <c r="J23" s="112">
        <f>($B23)*'Clés de répartition'!T17+D23*'Clés de répartition'!AF17*$B$9</f>
        <v>54300.934765188817</v>
      </c>
      <c r="K23" s="432">
        <f>G23/('Clés de répartition'!B60*'Clés de répartition'!$D144)+'Indirect - Budget VdeM'!J$7</f>
        <v>2089.0859012079159</v>
      </c>
      <c r="L23" s="432">
        <f>H23/('Clés de répartition'!C60*'Clés de répartition'!$D144)+'Indirect - Budget VdeM'!K$7</f>
        <v>998.4518313269574</v>
      </c>
      <c r="M23" s="432">
        <f>I23/('Clés de répartition'!D60*'Clés de répartition'!$D144)+'Indirect - Budget VdeM'!L$7</f>
        <v>838.99934997970331</v>
      </c>
      <c r="N23" s="432">
        <f>J23/('Clés de répartition'!E60*'Clés de répartition'!$D144)+'Indirect - Budget VdeM'!M$7</f>
        <v>361.77588864074261</v>
      </c>
      <c r="O23" s="112">
        <f>$C23*'Clés de répartition'!AK17*(1-'Clés de répartition'!$B$299)*$B$9</f>
        <v>659520.55767736153</v>
      </c>
      <c r="P23" s="112">
        <f>$C23*'Clés de répartition'!AL17*'Clés de répartition'!$F$255*'Clés de répartition'!$F$269</f>
        <v>63770.943037910729</v>
      </c>
      <c r="Q23" s="112">
        <f>$C23*'Clés de répartition'!AM17*'Clés de répartition'!$B$189</f>
        <v>0</v>
      </c>
      <c r="R23" s="112">
        <f>$C23*'Clés de répartition'!AN17</f>
        <v>12107.996852532078</v>
      </c>
      <c r="S23" s="433">
        <f>O23/('Clés de répartition'!B60*'Clés de répartition'!$D144)</f>
        <v>448.01088890159525</v>
      </c>
      <c r="T23" s="433">
        <f>P23/('Clés de répartition'!C60*'Clés de répartition'!$D144)</f>
        <v>49.054024139110879</v>
      </c>
      <c r="U23" s="433">
        <f>Q23/('Clés de répartition'!D60*'Clés de répartition'!$D144)</f>
        <v>0</v>
      </c>
      <c r="V23" s="433">
        <f>R23/('Clés de répartition'!E60*'Clés de répartition'!$D144)</f>
        <v>79.309907182978378</v>
      </c>
    </row>
    <row r="24" spans="1:25" ht="17">
      <c r="A24" s="66" t="s">
        <v>78</v>
      </c>
      <c r="B24" s="112">
        <v>6699486</v>
      </c>
      <c r="C24" s="112">
        <v>4405510</v>
      </c>
      <c r="D24" s="112">
        <v>671970</v>
      </c>
      <c r="E24" s="112">
        <v>721907</v>
      </c>
      <c r="F24" s="112">
        <v>14690186</v>
      </c>
      <c r="G24" s="112">
        <f>($B24*'Clés de répartition'!Q18+$E24+D24*'Clés de répartition'!AC18)*(1-'Clés de répartition'!$B$299)*$B$9</f>
        <v>7163379.6950431056</v>
      </c>
      <c r="H24" s="112">
        <f>'Clés de répartition'!$F$255*'Clés de répartition'!$F$269*(B24*'Clés de répartition'!R18+D24*'Clés de répartition'!AD18+F24)*$B$9</f>
        <v>9322249.0738016181</v>
      </c>
      <c r="I24" s="112">
        <f>'Clés de répartition'!$B$189*($B24*'Clés de répartition'!S18+D24*'Clés de répartition'!AE17)*$B$9</f>
        <v>87976.356539417437</v>
      </c>
      <c r="J24" s="112">
        <f>($B24)*'Clés de répartition'!T18+D24*'Clés de répartition'!AF18*$B$9</f>
        <v>141936.60616736725</v>
      </c>
      <c r="K24" s="432">
        <f>G24/('Clés de répartition'!B61*'Clés de répartition'!$D145)+'Indirect - Budget VdeM'!J$7</f>
        <v>1258.1867708162167</v>
      </c>
      <c r="L24" s="432">
        <f>H24/('Clés de répartition'!C61*'Clés de répartition'!$D145)+'Indirect - Budget VdeM'!K$7</f>
        <v>2015.6099913770161</v>
      </c>
      <c r="M24" s="432">
        <f>I24/('Clés de répartition'!D61*'Clés de répartition'!$D145)+'Indirect - Budget VdeM'!L$7</f>
        <v>704.17340236668838</v>
      </c>
      <c r="N24" s="432">
        <f>J24/('Clés de répartition'!E61*'Clés de répartition'!$D145)+'Indirect - Budget VdeM'!M$7</f>
        <v>163.45194207383668</v>
      </c>
      <c r="O24" s="112">
        <f>$C24*'Clés de répartition'!AK18*(1-'Clés de répartition'!$B$299)*$B$9</f>
        <v>3909786.3030595691</v>
      </c>
      <c r="P24" s="112">
        <f>$C24*'Clés de répartition'!AL18*'Clés de répartition'!$F$255*'Clés de répartition'!$F$269</f>
        <v>271482.84031212062</v>
      </c>
      <c r="Q24" s="112">
        <f>$C24*'Clés de répartition'!AM18*'Clés de répartition'!$B$189</f>
        <v>0</v>
      </c>
      <c r="R24" s="112">
        <f>$C24*'Clés de répartition'!AN18</f>
        <v>85965.081839060469</v>
      </c>
      <c r="S24" s="433">
        <f>O24/('Clés de répartition'!B61*'Clés de répartition'!$D145)</f>
        <v>656.58386508024944</v>
      </c>
      <c r="T24" s="433">
        <f>P24/('Clés de répartition'!C61*'Clés de répartition'!$D145)</f>
        <v>58.446648390780851</v>
      </c>
      <c r="U24" s="433">
        <f>Q24/('Clés de répartition'!D61*'Clés de répartition'!$D145)</f>
        <v>0</v>
      </c>
      <c r="V24" s="433">
        <f>R24/('Clés de répartition'!E61*'Clés de répartition'!$D145)</f>
        <v>95.305487284691651</v>
      </c>
    </row>
    <row r="25" spans="1:25">
      <c r="A25" s="87" t="s">
        <v>82</v>
      </c>
      <c r="B25" s="112">
        <v>18621336</v>
      </c>
      <c r="C25" s="112">
        <v>4067751</v>
      </c>
      <c r="D25" s="112">
        <v>1537951</v>
      </c>
      <c r="E25" s="112">
        <v>488540</v>
      </c>
      <c r="F25" s="112">
        <v>15080800</v>
      </c>
      <c r="G25" s="112">
        <f>($B25*'Clés de répartition'!Q19+$E25+D25*'Clés de répartition'!AC19)*(1-'Clés de répartition'!$B$299)*$B$9</f>
        <v>19859074.26864386</v>
      </c>
      <c r="H25" s="112">
        <f>'Clés de répartition'!$F$255*'Clés de répartition'!$F$269*(B25*'Clés de répartition'!R19+D25*'Clés de répartition'!AD19+F25)*$B$9</f>
        <v>9584148.2312256675</v>
      </c>
      <c r="I25" s="112">
        <f>'Clés de répartition'!$B$189*($B25*'Clés de répartition'!S19+D25*'Clés de répartition'!AE18)*$B$9</f>
        <v>63397.62752674958</v>
      </c>
      <c r="J25" s="112">
        <f>($B25)*'Clés de répartition'!T19+D25*'Clés de répartition'!AF19*$B$9</f>
        <v>189886.0689116829</v>
      </c>
      <c r="K25" s="432">
        <f>G25/('Clés de répartition'!B62*'Clés de répartition'!$D146)+'Indirect - Budget VdeM'!J$7</f>
        <v>1487.841295742626</v>
      </c>
      <c r="L25" s="432">
        <f>H25/('Clés de répartition'!C62*'Clés de répartition'!$D146)+'Indirect - Budget VdeM'!K$7</f>
        <v>2437.0484168080193</v>
      </c>
      <c r="M25" s="432">
        <f>I25/('Clés de répartition'!D62*'Clés de répartition'!$D146)+'Indirect - Budget VdeM'!L$7</f>
        <v>581.87458577245388</v>
      </c>
      <c r="N25" s="432">
        <f>J25/('Clés de répartition'!E62*'Clés de répartition'!$D146)+'Indirect - Budget VdeM'!M$7</f>
        <v>150.10033277466292</v>
      </c>
      <c r="O25" s="112">
        <f>$C25*'Clés de répartition'!AK19*(1-'Clés de répartition'!$B$299)*$B$9</f>
        <v>3924102.0624188194</v>
      </c>
      <c r="P25" s="112">
        <f>$C25*'Clés de répartition'!AL19*'Clés de répartition'!$F$255*'Clés de répartition'!$F$269</f>
        <v>95616.977004564964</v>
      </c>
      <c r="Q25" s="112">
        <f>$C25*'Clés de répartition'!AM19*'Clés de répartition'!$B$189</f>
        <v>0</v>
      </c>
      <c r="R25" s="112">
        <f>$C25*'Clés de répartition'!AN19</f>
        <v>38358.095086078967</v>
      </c>
      <c r="S25" s="433">
        <f>O25/('Clés de répartition'!B62*'Clés de répartition'!$D146)</f>
        <v>283.08312307903037</v>
      </c>
      <c r="T25" s="433">
        <f>P25/('Clés de répartition'!C62*'Clés de répartition'!$D146)</f>
        <v>24.227063589569802</v>
      </c>
      <c r="U25" s="433">
        <f>Q25/('Clés de répartition'!D62*'Clés de répartition'!$D146)</f>
        <v>0</v>
      </c>
      <c r="V25" s="433">
        <f>R25/('Clés de répartition'!E62*'Clés de répartition'!$D146)</f>
        <v>29.090235643852502</v>
      </c>
    </row>
    <row r="26" spans="1:25">
      <c r="A26" s="87" t="s">
        <v>83</v>
      </c>
      <c r="B26" s="112">
        <v>3306837</v>
      </c>
      <c r="C26" s="112">
        <v>668025</v>
      </c>
      <c r="D26" s="112">
        <v>180690</v>
      </c>
      <c r="E26" s="112">
        <v>148460</v>
      </c>
      <c r="F26" s="112">
        <v>2117206</v>
      </c>
      <c r="G26" s="112">
        <f>($B26*'Clés de répartition'!Q20+$E26+D26*'Clés de répartition'!AC20)*(1-'Clés de répartition'!$B$299)*$B$9</f>
        <v>3476201.7883815919</v>
      </c>
      <c r="H26" s="112">
        <f>'Clés de répartition'!$F$255*'Clés de répartition'!$F$269*(B26*'Clés de répartition'!R20+D26*'Clés de répartition'!AD20+F26)*$B$9</f>
        <v>1350830.1640303992</v>
      </c>
      <c r="I26" s="112">
        <f>'Clés de répartition'!$B$189*($B26*'Clés de répartition'!S20+D26*'Clés de répartition'!AE19)*$B$9</f>
        <v>43156.532831519689</v>
      </c>
      <c r="J26" s="112">
        <f>($B26)*'Clés de répartition'!T20+D26*'Clés de répartition'!AF20*$B$9</f>
        <v>21867.818991528948</v>
      </c>
      <c r="K26" s="432">
        <f>G26/('Clés de répartition'!B63*'Clés de répartition'!$D147)+'Indirect - Budget VdeM'!J$7</f>
        <v>1614.7332849371942</v>
      </c>
      <c r="L26" s="432">
        <f>H26/('Clés de répartition'!C63*'Clés de répartition'!$D147)+'Indirect - Budget VdeM'!K$7</f>
        <v>1709.2722072831659</v>
      </c>
      <c r="M26" s="432">
        <f>I26/('Clés de répartition'!D63*'Clés de répartition'!$D147)+'Indirect - Budget VdeM'!L$7</f>
        <v>3451.2972085799784</v>
      </c>
      <c r="N26" s="432">
        <f>J26/('Clés de répartition'!E63*'Clés de répartition'!$D147)+'Indirect - Budget VdeM'!M$7</f>
        <v>117.62332860877667</v>
      </c>
      <c r="O26" s="112">
        <f>$C26*'Clés de répartition'!AK20*(1-'Clés de répartition'!$B$299)*$B$9</f>
        <v>649612.47632424126</v>
      </c>
      <c r="P26" s="112">
        <f>$C26*'Clés de répartition'!AL20*'Clés de répartition'!$F$255*'Clés de répartition'!$F$269</f>
        <v>13932.642802366641</v>
      </c>
      <c r="Q26" s="112">
        <f>$C26*'Clés de répartition'!AM20*'Clés de répartition'!$B$189</f>
        <v>0</v>
      </c>
      <c r="R26" s="112">
        <f>$C26*'Clés de répartition'!AN20</f>
        <v>4262.6568398474137</v>
      </c>
      <c r="S26" s="433">
        <f>O26/('Clés de répartition'!B63*'Clés de répartition'!$D147)</f>
        <v>291.433608855199</v>
      </c>
      <c r="T26" s="433">
        <f>P26/('Clés de répartition'!C63*'Clés de répartition'!$D147)</f>
        <v>17.54040725090033</v>
      </c>
      <c r="U26" s="433">
        <f>Q26/('Clés de répartition'!D63*'Clés de répartition'!$D147)</f>
        <v>0</v>
      </c>
      <c r="V26" s="433">
        <f>R26/('Clés de répartition'!E63*'Clés de répartition'!$D147)</f>
        <v>21.740333940398425</v>
      </c>
    </row>
    <row r="27" spans="1:25" ht="17">
      <c r="A27" s="66" t="s">
        <v>84</v>
      </c>
      <c r="B27" s="112">
        <v>934850</v>
      </c>
      <c r="C27" s="112">
        <v>138979</v>
      </c>
      <c r="D27" s="112">
        <v>31774</v>
      </c>
      <c r="E27" s="112">
        <v>14561</v>
      </c>
      <c r="F27" s="112">
        <v>765130</v>
      </c>
      <c r="G27" s="112">
        <f>($B27*'Clés de répartition'!Q21+$E27+D27*'Clés de répartition'!AC21)*(1-'Clés de répartition'!$B$299)*$B$9</f>
        <v>989979.83927426522</v>
      </c>
      <c r="H27" s="112">
        <f>'Clés de répartition'!$F$255*'Clés de répartition'!$F$269*(B27*'Clés de répartition'!R21+D27*'Clés de répartition'!AD21+F27)*$B$9</f>
        <v>462341.51219634316</v>
      </c>
      <c r="I27" s="112">
        <f>'Clés de répartition'!$B$189*($B27*'Clés de répartition'!S21+D27*'Clés de répartition'!AE20)*$B$9</f>
        <v>4414.4060175291288</v>
      </c>
      <c r="J27" s="112">
        <f>($B27)*'Clés de répartition'!T21+D27*'Clés de répartition'!AF21*$B$9</f>
        <v>0</v>
      </c>
      <c r="K27" s="432">
        <f>G27/('Clés de répartition'!B64*'Clés de répartition'!$D148)+'Indirect - Budget VdeM'!J$7</f>
        <v>2226.0447908262327</v>
      </c>
      <c r="L27" s="432">
        <f>H27/('Clés de répartition'!C64*'Clés de répartition'!$D148)+'Indirect - Budget VdeM'!K$7</f>
        <v>3998.3544777651873</v>
      </c>
      <c r="M27" s="432">
        <f>I27/('Clés de répartition'!D64*'Clés de répartition'!$D148)+'Indirect - Budget VdeM'!L$7</f>
        <v>475.66473304029375</v>
      </c>
      <c r="N27" s="432">
        <f>IF('Clés de répartition'!E64=0,0,J27/('Clés de répartition'!E64*'Clés de répartition'!$D148))+'Indirect - Budget VdeM'!M$7</f>
        <v>6.0934294670376454</v>
      </c>
      <c r="O27" s="112">
        <f>$C27*'Clés de répartition'!AK21*(1-'Clés de répartition'!$B$299)*$B$9</f>
        <v>140885.40793010537</v>
      </c>
      <c r="P27" s="112">
        <f>$C27*'Clés de répartition'!AL21*'Clés de répartition'!$F$255*'Clés de répartition'!$F$269</f>
        <v>145.83743116479434</v>
      </c>
      <c r="Q27" s="112">
        <f>$C27*'Clés de répartition'!AM21*'Clés de répartition'!$B$189</f>
        <v>0</v>
      </c>
      <c r="R27" s="112">
        <f>$C27*'Clés de répartition'!AN21</f>
        <v>0</v>
      </c>
      <c r="S27" s="433">
        <f>O27/('Clés de répartition'!B64*'Clés de répartition'!$D148)</f>
        <v>308.93369691037827</v>
      </c>
      <c r="T27" s="433">
        <f>P27/('Clés de répartition'!C64*'Clés de répartition'!$D148)</f>
        <v>1.2584803822533828</v>
      </c>
      <c r="U27" s="433">
        <f>Q27/('Clés de répartition'!D64*'Clés de répartition'!$D148)</f>
        <v>0</v>
      </c>
      <c r="V27" s="433">
        <f>IF('Clés de répartition'!E64=0,0,R27/('Clés de répartition'!E64*'Clés de répartition'!$D148))</f>
        <v>0</v>
      </c>
    </row>
    <row r="28" spans="1:25">
      <c r="A28" s="87" t="s">
        <v>85</v>
      </c>
      <c r="B28" s="112">
        <v>10453474</v>
      </c>
      <c r="C28" s="112">
        <v>2538190</v>
      </c>
      <c r="D28" s="112">
        <v>765314</v>
      </c>
      <c r="E28" s="112">
        <v>821708</v>
      </c>
      <c r="F28" s="112">
        <v>15206823</v>
      </c>
      <c r="G28" s="112">
        <f>($B28*'Clés de répartition'!Q22+$E28+D28*'Clés de répartition'!AC22)*(1-'Clés de répartition'!$B$299)*$B$9</f>
        <v>10102509.425162438</v>
      </c>
      <c r="H28" s="112">
        <f>'Clés de répartition'!$F$255*'Clés de répartition'!$F$269*(B28*'Clés de répartition'!R22+D28*'Clés de répartition'!AD22+F28)*$B$9</f>
        <v>9960555.7097180542</v>
      </c>
      <c r="I28" s="112">
        <f>'Clés de répartition'!$B$189*($B28*'Clés de répartition'!S22+D28*'Clés de répartition'!AE21)*$B$9</f>
        <v>162773.2197131468</v>
      </c>
      <c r="J28" s="112">
        <f>($B28)*'Clés de répartition'!T22+D28*'Clés de répartition'!AF22*$B$9</f>
        <v>532444.68301125825</v>
      </c>
      <c r="K28" s="432">
        <f>G28/('Clés de répartition'!B65*'Clés de répartition'!$D149)+'Indirect - Budget VdeM'!J$7</f>
        <v>2137.4879073852189</v>
      </c>
      <c r="L28" s="432">
        <f>H28/('Clés de répartition'!C65*'Clés de répartition'!$D149)+'Indirect - Budget VdeM'!K$7</f>
        <v>2714.2694846751642</v>
      </c>
      <c r="M28" s="432">
        <f>I28/('Clés de répartition'!D65*'Clés de répartition'!$D149)+'Indirect - Budget VdeM'!L$7</f>
        <v>793.30744586903029</v>
      </c>
      <c r="N28" s="432">
        <f>J28/('Clés de répartition'!E65*'Clés de répartition'!$D149)+'Indirect - Budget VdeM'!M$7</f>
        <v>331.01580628895402</v>
      </c>
      <c r="O28" s="112">
        <f>$C28*'Clés de répartition'!AK22*(1-'Clés de répartition'!$B$299)*$B$9</f>
        <v>2129414.3789999937</v>
      </c>
      <c r="P28" s="112">
        <f>$C28*'Clés de répartition'!AL22*'Clés de répartition'!$F$255*'Clés de répartition'!$F$269</f>
        <v>174583.27062360919</v>
      </c>
      <c r="Q28" s="112">
        <f>$C28*'Clés de répartition'!AM22*'Clés de répartition'!$B$189</f>
        <v>11828.784486420904</v>
      </c>
      <c r="R28" s="112">
        <f>$C28*'Clés de répartition'!AN22</f>
        <v>121978.62516158343</v>
      </c>
      <c r="S28" s="433">
        <f>O28/('Clés de répartition'!B65*'Clés de répartition'!$D149)</f>
        <v>438.90285430036323</v>
      </c>
      <c r="T28" s="433">
        <f>P28/('Clés de répartition'!C65*'Clés de répartition'!$D149)</f>
        <v>47.422581532712577</v>
      </c>
      <c r="U28" s="433">
        <f>Q28/('Clés de répartition'!D65*'Clés de répartition'!$D149)</f>
        <v>31.37367946961832</v>
      </c>
      <c r="V28" s="433">
        <f>R28/('Clés de répartition'!E65*'Clés de répartition'!$D149)</f>
        <v>74.436999886677938</v>
      </c>
    </row>
    <row r="29" spans="1:25">
      <c r="A29" s="306" t="s">
        <v>585</v>
      </c>
      <c r="B29" s="318"/>
      <c r="C29" s="318"/>
      <c r="D29" s="318"/>
      <c r="E29" s="318"/>
      <c r="F29" s="318"/>
      <c r="G29" s="318"/>
      <c r="H29" s="318"/>
      <c r="I29" s="318"/>
      <c r="J29" s="318"/>
      <c r="K29" s="319"/>
      <c r="L29" s="319"/>
      <c r="M29" s="319"/>
      <c r="N29" s="319"/>
      <c r="O29" s="318"/>
      <c r="P29" s="318"/>
      <c r="Q29" s="318"/>
      <c r="R29" s="318"/>
      <c r="S29" s="320"/>
      <c r="T29" s="320"/>
      <c r="U29" s="320"/>
      <c r="V29" s="320"/>
    </row>
    <row r="30" spans="1:25">
      <c r="A30" s="597" t="s">
        <v>154</v>
      </c>
      <c r="B30" s="289"/>
      <c r="C30" s="289"/>
      <c r="D30" s="289"/>
      <c r="E30" s="289"/>
      <c r="F30" s="132"/>
      <c r="G30" s="289"/>
      <c r="H30" s="289"/>
      <c r="I30" s="289"/>
      <c r="J30" s="289"/>
      <c r="K30" s="156">
        <f>'Indirect - Budget VdeM'!J10+'Indirect - Budget VdeM'!J$8+'Indirect - Budget VdeM'!J$7</f>
        <v>1370.9700204286646</v>
      </c>
      <c r="L30" s="156">
        <f>'Indirect - Budget VdeM'!K10+'Indirect - Budget VdeM'!K$8+'Indirect - Budget VdeM'!K$7</f>
        <v>830.24632419842635</v>
      </c>
      <c r="M30" s="156">
        <f>'Indirect - Budget VdeM'!L10+'Indirect - Budget VdeM'!L$8+'Indirect - Budget VdeM'!L$7</f>
        <v>687.46565983085702</v>
      </c>
      <c r="N30" s="156">
        <f>'Indirect - Budget VdeM'!M10+'Indirect - Budget VdeM'!M$8+'Indirect - Budget VdeM'!M$7</f>
        <v>155.53763181971993</v>
      </c>
      <c r="O30" s="254"/>
      <c r="P30" s="254"/>
      <c r="Q30" s="254"/>
      <c r="R30" s="254"/>
      <c r="S30" s="132">
        <f>'Indirect - Budget VdeM'!J$30</f>
        <v>448.61191785488739</v>
      </c>
      <c r="T30" s="132">
        <f>'Indirect - Budget VdeM'!K$30</f>
        <v>35.319871953089987</v>
      </c>
      <c r="U30" s="132">
        <f>'Indirect - Budget VdeM'!L$30</f>
        <v>74.225844616996241</v>
      </c>
      <c r="V30" s="132">
        <f>'Indirect - Budget VdeM'!M$30</f>
        <v>55.919789237830194</v>
      </c>
    </row>
    <row r="31" spans="1:25">
      <c r="A31" s="597" t="s">
        <v>155</v>
      </c>
      <c r="B31" s="254"/>
      <c r="C31" s="254"/>
      <c r="D31" s="289"/>
      <c r="E31" s="254"/>
      <c r="G31" s="290"/>
      <c r="H31" s="254"/>
      <c r="I31" s="254"/>
      <c r="J31" s="254"/>
      <c r="K31" s="156">
        <f>'Indirect - Budget VdeM'!J11+'Indirect - Budget VdeM'!J$8+'Indirect - Budget VdeM'!J$7</f>
        <v>1385.5881555327908</v>
      </c>
      <c r="L31" s="156">
        <f>'Indirect - Budget VdeM'!K11+'Indirect - Budget VdeM'!K$8+'Indirect - Budget VdeM'!K$7</f>
        <v>895.06816537084399</v>
      </c>
      <c r="M31" s="156">
        <f>'Indirect - Budget VdeM'!L11+'Indirect - Budget VdeM'!L$8+'Indirect - Budget VdeM'!L$7</f>
        <v>709.45771887757928</v>
      </c>
      <c r="N31" s="156">
        <f>'Indirect - Budget VdeM'!M11+'Indirect - Budget VdeM'!M$8+'Indirect - Budget VdeM'!M$7</f>
        <v>156.99980681208839</v>
      </c>
      <c r="O31" s="254"/>
      <c r="P31" s="254"/>
      <c r="Q31" s="254"/>
      <c r="R31" s="254"/>
      <c r="S31" s="132">
        <f>'Indirect - Budget VdeM'!J$30</f>
        <v>448.61191785488739</v>
      </c>
      <c r="T31" s="132">
        <f>'Indirect - Budget VdeM'!K$30</f>
        <v>35.319871953089987</v>
      </c>
      <c r="U31" s="132">
        <f>'Indirect - Budget VdeM'!L$30</f>
        <v>74.225844616996241</v>
      </c>
      <c r="V31" s="132">
        <f>'Indirect - Budget VdeM'!M$30</f>
        <v>55.919789237830194</v>
      </c>
    </row>
    <row r="32" spans="1:25">
      <c r="A32" s="597" t="s">
        <v>156</v>
      </c>
      <c r="B32" s="254"/>
      <c r="C32" s="254"/>
      <c r="D32" s="289"/>
      <c r="E32" s="254"/>
      <c r="G32" s="290"/>
      <c r="H32" s="254"/>
      <c r="I32" s="254"/>
      <c r="J32" s="254"/>
      <c r="K32" s="156">
        <f>'Indirect - Budget VdeM'!J12+'Indirect - Budget VdeM'!J$8+'Indirect - Budget VdeM'!J$7</f>
        <v>1339.90492878996</v>
      </c>
      <c r="L32" s="156">
        <f>'Indirect - Budget VdeM'!K12+'Indirect - Budget VdeM'!K$8+'Indirect - Budget VdeM'!K$7</f>
        <v>810.22948684509799</v>
      </c>
      <c r="M32" s="156">
        <f>'Indirect - Budget VdeM'!L12+'Indirect - Budget VdeM'!L$8+'Indirect - Budget VdeM'!L$7</f>
        <v>686.87399372769426</v>
      </c>
      <c r="N32" s="156">
        <f>'Indirect - Budget VdeM'!M12+'Indirect - Budget VdeM'!M$8+'Indirect - Budget VdeM'!M$7</f>
        <v>150.87436984636989</v>
      </c>
      <c r="O32" s="254"/>
      <c r="P32" s="254"/>
      <c r="Q32" s="254"/>
      <c r="R32" s="254"/>
      <c r="S32" s="132">
        <f>'Indirect - Budget VdeM'!J$30</f>
        <v>448.61191785488739</v>
      </c>
      <c r="T32" s="132">
        <f>'Indirect - Budget VdeM'!K$30</f>
        <v>35.319871953089987</v>
      </c>
      <c r="U32" s="132">
        <f>'Indirect - Budget VdeM'!L$30</f>
        <v>74.225844616996241</v>
      </c>
      <c r="V32" s="132">
        <f>'Indirect - Budget VdeM'!M$30</f>
        <v>55.919789237830194</v>
      </c>
    </row>
    <row r="33" spans="1:22">
      <c r="A33" s="597" t="s">
        <v>403</v>
      </c>
      <c r="B33" s="291"/>
      <c r="C33" s="254"/>
      <c r="D33" s="289"/>
      <c r="E33" s="254"/>
      <c r="G33" s="290"/>
      <c r="H33" s="254"/>
      <c r="I33" s="254"/>
      <c r="J33" s="254"/>
      <c r="K33" s="156">
        <f>'Indirect - Budget VdeM'!J13+'Indirect - Budget VdeM'!J$8+'Indirect - Budget VdeM'!J$7</f>
        <v>1436.7679953823317</v>
      </c>
      <c r="L33" s="156">
        <f>'Indirect - Budget VdeM'!K13+'Indirect - Budget VdeM'!K$8+'Indirect - Budget VdeM'!K$7</f>
        <v>917.20697487063626</v>
      </c>
      <c r="M33" s="156">
        <f>'Indirect - Budget VdeM'!L13+'Indirect - Budget VdeM'!L$8+'Indirect - Budget VdeM'!L$7</f>
        <v>1003.621163425915</v>
      </c>
      <c r="N33" s="156">
        <f>'Indirect - Budget VdeM'!M13+'Indirect - Budget VdeM'!M$8+'Indirect - Budget VdeM'!M$7</f>
        <v>151.6672714355044</v>
      </c>
      <c r="O33" s="254"/>
      <c r="P33" s="254"/>
      <c r="Q33" s="254"/>
      <c r="R33" s="254"/>
      <c r="S33" s="132">
        <f>'Indirect - Budget VdeM'!J$30</f>
        <v>448.61191785488739</v>
      </c>
      <c r="T33" s="132">
        <f>'Indirect - Budget VdeM'!K$30</f>
        <v>35.319871953089987</v>
      </c>
      <c r="U33" s="132">
        <f>'Indirect - Budget VdeM'!L$30</f>
        <v>74.225844616996241</v>
      </c>
      <c r="V33" s="132">
        <f>'Indirect - Budget VdeM'!M$30</f>
        <v>55.919789237830194</v>
      </c>
    </row>
    <row r="34" spans="1:22">
      <c r="A34" s="597" t="s">
        <v>168</v>
      </c>
      <c r="B34" s="291"/>
      <c r="C34" s="254"/>
      <c r="D34" s="289"/>
      <c r="E34" s="254"/>
      <c r="G34" s="290"/>
      <c r="H34" s="254"/>
      <c r="I34" s="254"/>
      <c r="J34" s="254"/>
      <c r="K34" s="156">
        <f>'Indirect - Budget VdeM'!J14+'Indirect - Budget VdeM'!J$8+'Indirect - Budget VdeM'!J$7</f>
        <v>1359.9884706320884</v>
      </c>
      <c r="L34" s="156">
        <f>'Indirect - Budget VdeM'!K14+'Indirect - Budget VdeM'!K$8+'Indirect - Budget VdeM'!K$7</f>
        <v>893.32244792777863</v>
      </c>
      <c r="M34" s="156">
        <f>'Indirect - Budget VdeM'!L14+'Indirect - Budget VdeM'!L$8+'Indirect - Budget VdeM'!L$7</f>
        <v>700.84179199699111</v>
      </c>
      <c r="N34" s="156">
        <f>'Indirect - Budget VdeM'!M14+'Indirect - Budget VdeM'!M$8+'Indirect - Budget VdeM'!M$7</f>
        <v>156.03472527037331</v>
      </c>
      <c r="O34" s="254"/>
      <c r="P34" s="254"/>
      <c r="Q34" s="254"/>
      <c r="R34" s="254"/>
      <c r="S34" s="132">
        <f>'Indirect - Budget VdeM'!J$30</f>
        <v>448.61191785488739</v>
      </c>
      <c r="T34" s="132">
        <f>'Indirect - Budget VdeM'!K$30</f>
        <v>35.319871953089987</v>
      </c>
      <c r="U34" s="132">
        <f>'Indirect - Budget VdeM'!L$30</f>
        <v>74.225844616996241</v>
      </c>
      <c r="V34" s="132">
        <f>'Indirect - Budget VdeM'!M$30</f>
        <v>55.919789237830194</v>
      </c>
    </row>
    <row r="35" spans="1:22">
      <c r="A35" s="597" t="s">
        <v>167</v>
      </c>
      <c r="B35" s="291"/>
      <c r="C35" s="254"/>
      <c r="D35" s="289"/>
      <c r="E35" s="254"/>
      <c r="G35" s="290"/>
      <c r="H35" s="254"/>
      <c r="I35" s="254"/>
      <c r="J35" s="254"/>
      <c r="K35" s="156">
        <f>'Indirect - Budget VdeM'!J15+'Indirect - Budget VdeM'!J$8+'Indirect - Budget VdeM'!J$7</f>
        <v>1355.9316975402451</v>
      </c>
      <c r="L35" s="156">
        <f>'Indirect - Budget VdeM'!K15+'Indirect - Budget VdeM'!K$8+'Indirect - Budget VdeM'!K$7</f>
        <v>880.48196163242073</v>
      </c>
      <c r="M35" s="156">
        <f>'Indirect - Budget VdeM'!L15+'Indirect - Budget VdeM'!L$8+'Indirect - Budget VdeM'!L$7</f>
        <v>688.85367719540113</v>
      </c>
      <c r="N35" s="156">
        <f>'Indirect - Budget VdeM'!M15+'Indirect - Budget VdeM'!M$8+'Indirect - Budget VdeM'!M$7</f>
        <v>153.30084905154746</v>
      </c>
      <c r="O35" s="254"/>
      <c r="P35" s="254"/>
      <c r="Q35" s="254"/>
      <c r="R35" s="254"/>
      <c r="S35" s="132">
        <f>'Indirect - Budget VdeM'!J$30</f>
        <v>448.61191785488739</v>
      </c>
      <c r="T35" s="132">
        <f>'Indirect - Budget VdeM'!K$30</f>
        <v>35.319871953089987</v>
      </c>
      <c r="U35" s="132">
        <f>'Indirect - Budget VdeM'!L$30</f>
        <v>74.225844616996241</v>
      </c>
      <c r="V35" s="132">
        <f>'Indirect - Budget VdeM'!M$30</f>
        <v>55.919789237830194</v>
      </c>
    </row>
    <row r="36" spans="1:22">
      <c r="A36" s="597" t="s">
        <v>170</v>
      </c>
      <c r="B36" s="254"/>
      <c r="C36" s="254"/>
      <c r="D36" s="289"/>
      <c r="E36" s="254"/>
      <c r="F36" s="574"/>
      <c r="G36" s="254"/>
      <c r="H36" s="254"/>
      <c r="I36" s="254"/>
      <c r="J36" s="254"/>
      <c r="K36" s="156">
        <f>'Indirect - Budget VdeM'!J16+'Indirect - Budget VdeM'!J$8+'Indirect - Budget VdeM'!J$7</f>
        <v>1346.0125045723601</v>
      </c>
      <c r="L36" s="156">
        <f>'Indirect - Budget VdeM'!K16+'Indirect - Budget VdeM'!K$8+'Indirect - Budget VdeM'!K$7</f>
        <v>812.00620607529925</v>
      </c>
      <c r="M36" s="156">
        <f>'Indirect - Budget VdeM'!L16+'Indirect - Budget VdeM'!L$8+'Indirect - Budget VdeM'!L$7</f>
        <v>685.48137010843539</v>
      </c>
      <c r="N36" s="156">
        <f>'Indirect - Budget VdeM'!M16+'Indirect - Budget VdeM'!M$8+'Indirect - Budget VdeM'!M$7</f>
        <v>151.89188787979057</v>
      </c>
      <c r="O36" s="254"/>
      <c r="P36" s="254"/>
      <c r="Q36" s="254"/>
      <c r="R36" s="254"/>
      <c r="S36" s="132">
        <f>'Indirect - Budget VdeM'!J$30</f>
        <v>448.61191785488739</v>
      </c>
      <c r="T36" s="132">
        <f>'Indirect - Budget VdeM'!K$30</f>
        <v>35.319871953089987</v>
      </c>
      <c r="U36" s="132">
        <f>'Indirect - Budget VdeM'!L$30</f>
        <v>74.225844616996241</v>
      </c>
      <c r="V36" s="132">
        <f>'Indirect - Budget VdeM'!M$30</f>
        <v>55.919789237830194</v>
      </c>
    </row>
    <row r="37" spans="1:22">
      <c r="A37" s="597" t="s">
        <v>171</v>
      </c>
      <c r="B37" s="254"/>
      <c r="C37" s="254"/>
      <c r="D37" s="289"/>
      <c r="E37" s="254"/>
      <c r="F37" s="575"/>
      <c r="G37" s="254"/>
      <c r="H37" s="254"/>
      <c r="I37" s="254"/>
      <c r="J37" s="254"/>
      <c r="K37" s="156">
        <f>'Indirect - Budget VdeM'!J17+'Indirect - Budget VdeM'!J$8+'Indirect - Budget VdeM'!J$7</f>
        <v>1373.614812804394</v>
      </c>
      <c r="L37" s="156">
        <f>'Indirect - Budget VdeM'!K17+'Indirect - Budget VdeM'!K$8+'Indirect - Budget VdeM'!K$7</f>
        <v>835.37457733987321</v>
      </c>
      <c r="M37" s="156">
        <f>'Indirect - Budget VdeM'!L17+'Indirect - Budget VdeM'!L$8+'Indirect - Budget VdeM'!L$7</f>
        <v>717.43984580471533</v>
      </c>
      <c r="N37" s="156">
        <f>'Indirect - Budget VdeM'!M17+'Indirect - Budget VdeM'!M$8+'Indirect - Budget VdeM'!M$7</f>
        <v>156.13598401799754</v>
      </c>
      <c r="O37" s="254"/>
      <c r="P37" s="254"/>
      <c r="Q37" s="254"/>
      <c r="R37" s="254"/>
      <c r="S37" s="132">
        <f>'Indirect - Budget VdeM'!J$30</f>
        <v>448.61191785488739</v>
      </c>
      <c r="T37" s="132">
        <f>'Indirect - Budget VdeM'!K$30</f>
        <v>35.319871953089987</v>
      </c>
      <c r="U37" s="132">
        <f>'Indirect - Budget VdeM'!L$30</f>
        <v>74.225844616996241</v>
      </c>
      <c r="V37" s="132">
        <f>'Indirect - Budget VdeM'!M$30</f>
        <v>55.919789237830194</v>
      </c>
    </row>
    <row r="38" spans="1:22">
      <c r="A38" s="597" t="s">
        <v>172</v>
      </c>
      <c r="B38" s="254"/>
      <c r="C38" s="289"/>
      <c r="D38" s="289"/>
      <c r="E38" s="254"/>
      <c r="F38" s="575"/>
      <c r="G38" s="254"/>
      <c r="H38" s="254"/>
      <c r="I38" s="254"/>
      <c r="J38" s="254"/>
      <c r="K38" s="156">
        <f>'Indirect - Budget VdeM'!J18+'Indirect - Budget VdeM'!J$8+'Indirect - Budget VdeM'!J$7</f>
        <v>1327.6679680894579</v>
      </c>
      <c r="L38" s="156">
        <f>'Indirect - Budget VdeM'!K18+'Indirect - Budget VdeM'!K$8+'Indirect - Budget VdeM'!K$7</f>
        <v>834.75917788679101</v>
      </c>
      <c r="M38" s="156">
        <f>'Indirect - Budget VdeM'!L18+'Indirect - Budget VdeM'!L$8+'Indirect - Budget VdeM'!L$7</f>
        <v>679.89445412145369</v>
      </c>
      <c r="N38" s="156">
        <f>'Indirect - Budget VdeM'!M18+'Indirect - Budget VdeM'!M$8+'Indirect - Budget VdeM'!M$7</f>
        <v>149.15148264553596</v>
      </c>
      <c r="O38" s="254"/>
      <c r="P38" s="254"/>
      <c r="Q38" s="254"/>
      <c r="R38" s="254"/>
      <c r="S38" s="132">
        <f>'Indirect - Budget VdeM'!J$30</f>
        <v>448.61191785488739</v>
      </c>
      <c r="T38" s="132">
        <f>'Indirect - Budget VdeM'!K$30</f>
        <v>35.319871953089987</v>
      </c>
      <c r="U38" s="132">
        <f>'Indirect - Budget VdeM'!L$30</f>
        <v>74.225844616996241</v>
      </c>
      <c r="V38" s="132">
        <f>'Indirect - Budget VdeM'!M$30</f>
        <v>55.919789237830194</v>
      </c>
    </row>
    <row r="39" spans="1:22">
      <c r="A39" s="597" t="s">
        <v>173</v>
      </c>
      <c r="B39" s="254"/>
      <c r="C39" s="289"/>
      <c r="D39" s="289"/>
      <c r="E39" s="254"/>
      <c r="F39" s="575"/>
      <c r="G39" s="254"/>
      <c r="H39" s="254"/>
      <c r="I39" s="254"/>
      <c r="J39" s="254"/>
      <c r="K39" s="156">
        <f>'Indirect - Budget VdeM'!J19+'Indirect - Budget VdeM'!J$8+'Indirect - Budget VdeM'!J$7</f>
        <v>1340.6034182719554</v>
      </c>
      <c r="L39" s="156">
        <f>'Indirect - Budget VdeM'!K19+'Indirect - Budget VdeM'!K$8+'Indirect - Budget VdeM'!K$7</f>
        <v>874.53414627476457</v>
      </c>
      <c r="M39" s="156">
        <f>'Indirect - Budget VdeM'!L19+'Indirect - Budget VdeM'!L$8+'Indirect - Budget VdeM'!L$7</f>
        <v>807.38084428364971</v>
      </c>
      <c r="N39" s="156">
        <f>'Indirect - Budget VdeM'!M19+'Indirect - Budget VdeM'!M$8+'Indirect - Budget VdeM'!M$7</f>
        <v>148.83854688373094</v>
      </c>
      <c r="O39" s="254"/>
      <c r="P39" s="254"/>
      <c r="Q39" s="254"/>
      <c r="R39" s="254"/>
      <c r="S39" s="132">
        <f>'Indirect - Budget VdeM'!J$30</f>
        <v>448.61191785488739</v>
      </c>
      <c r="T39" s="132">
        <f>'Indirect - Budget VdeM'!K$30</f>
        <v>35.319871953089987</v>
      </c>
      <c r="U39" s="132">
        <f>'Indirect - Budget VdeM'!L$30</f>
        <v>74.225844616996241</v>
      </c>
      <c r="V39" s="132">
        <f>'Indirect - Budget VdeM'!M$30</f>
        <v>55.919789237830194</v>
      </c>
    </row>
    <row r="40" spans="1:22">
      <c r="A40" s="597" t="s">
        <v>350</v>
      </c>
      <c r="B40" s="254"/>
      <c r="C40" s="289"/>
      <c r="D40" s="289"/>
      <c r="E40" s="254"/>
      <c r="F40" s="575"/>
      <c r="G40" s="254"/>
      <c r="H40" s="254"/>
      <c r="I40" s="254"/>
      <c r="J40" s="254"/>
      <c r="K40" s="156">
        <f>'Indirect - Budget VdeM'!J20+'Indirect - Budget VdeM'!J$8+'Indirect - Budget VdeM'!J$7</f>
        <v>1341.2119020710488</v>
      </c>
      <c r="L40" s="156">
        <f>'Indirect - Budget VdeM'!K20+'Indirect - Budget VdeM'!K$8+'Indirect - Budget VdeM'!K$7</f>
        <v>811.86154441015958</v>
      </c>
      <c r="M40" s="156">
        <f>'Indirect - Budget VdeM'!L20+'Indirect - Budget VdeM'!L$8+'Indirect - Budget VdeM'!L$7</f>
        <v>681.29047529821366</v>
      </c>
      <c r="N40" s="156">
        <f>'Indirect - Budget VdeM'!M20+'Indirect - Budget VdeM'!M$8+'Indirect - Budget VdeM'!M$7</f>
        <v>150.66635946921946</v>
      </c>
      <c r="O40" s="254"/>
      <c r="P40" s="254"/>
      <c r="Q40" s="254"/>
      <c r="R40" s="254"/>
      <c r="S40" s="132">
        <f>'Indirect - Budget VdeM'!J$30</f>
        <v>448.61191785488739</v>
      </c>
      <c r="T40" s="132">
        <f>'Indirect - Budget VdeM'!K$30</f>
        <v>35.319871953089987</v>
      </c>
      <c r="U40" s="132">
        <f>'Indirect - Budget VdeM'!L$30</f>
        <v>74.225844616996241</v>
      </c>
      <c r="V40" s="132">
        <f>'Indirect - Budget VdeM'!M$30</f>
        <v>55.919789237830194</v>
      </c>
    </row>
    <row r="41" spans="1:22">
      <c r="A41" s="597" t="s">
        <v>174</v>
      </c>
      <c r="B41" s="254"/>
      <c r="C41" s="289"/>
      <c r="D41" s="289"/>
      <c r="E41" s="254"/>
      <c r="F41" s="575"/>
      <c r="G41" s="254"/>
      <c r="H41" s="254"/>
      <c r="I41" s="254"/>
      <c r="J41" s="254"/>
      <c r="K41" s="156">
        <f>'Indirect - Budget VdeM'!J21+'Indirect - Budget VdeM'!J$8+'Indirect - Budget VdeM'!J$7</f>
        <v>1378.3616570782212</v>
      </c>
      <c r="L41" s="156">
        <f>'Indirect - Budget VdeM'!K21+'Indirect - Budget VdeM'!K$8+'Indirect - Budget VdeM'!K$7</f>
        <v>864.20676885146611</v>
      </c>
      <c r="M41" s="156">
        <f>'Indirect - Budget VdeM'!L21+'Indirect - Budget VdeM'!L$8+'Indirect - Budget VdeM'!L$7</f>
        <v>863.67402587784511</v>
      </c>
      <c r="N41" s="156">
        <f>'Indirect - Budget VdeM'!M21+'Indirect - Budget VdeM'!M$8+'Indirect - Budget VdeM'!M$7</f>
        <v>156.65363715210432</v>
      </c>
      <c r="O41" s="254"/>
      <c r="P41" s="254"/>
      <c r="Q41" s="254"/>
      <c r="R41" s="254"/>
      <c r="S41" s="132">
        <f>'Indirect - Budget VdeM'!J$30</f>
        <v>448.61191785488739</v>
      </c>
      <c r="T41" s="132">
        <f>'Indirect - Budget VdeM'!K$30</f>
        <v>35.319871953089987</v>
      </c>
      <c r="U41" s="132">
        <f>'Indirect - Budget VdeM'!L$30</f>
        <v>74.225844616996241</v>
      </c>
      <c r="V41" s="132">
        <f>'Indirect - Budget VdeM'!M$30</f>
        <v>55.919789237830194</v>
      </c>
    </row>
    <row r="42" spans="1:22">
      <c r="A42" s="597" t="s">
        <v>175</v>
      </c>
      <c r="B42" s="254"/>
      <c r="C42" s="289"/>
      <c r="D42" s="289"/>
      <c r="E42" s="254"/>
      <c r="G42" s="254"/>
      <c r="H42" s="254"/>
      <c r="I42" s="254"/>
      <c r="J42" s="254"/>
      <c r="K42" s="156">
        <f>'Indirect - Budget VdeM'!J22+'Indirect - Budget VdeM'!J$8+'Indirect - Budget VdeM'!J$7</f>
        <v>1351.2053752010759</v>
      </c>
      <c r="L42" s="156">
        <f>'Indirect - Budget VdeM'!K22+'Indirect - Budget VdeM'!K$8+'Indirect - Budget VdeM'!K$7</f>
        <v>815.0432868922137</v>
      </c>
      <c r="M42" s="156">
        <f>'Indirect - Budget VdeM'!L22+'Indirect - Budget VdeM'!L$8+'Indirect - Budget VdeM'!L$7</f>
        <v>685.2579604459404</v>
      </c>
      <c r="N42" s="156">
        <f>'Indirect - Budget VdeM'!M22+'Indirect - Budget VdeM'!M$8+'Indirect - Budget VdeM'!M$7</f>
        <v>153.72558997355958</v>
      </c>
      <c r="O42" s="254"/>
      <c r="P42" s="254"/>
      <c r="Q42" s="254"/>
      <c r="R42" s="254"/>
      <c r="S42" s="132">
        <f>'Indirect - Budget VdeM'!J$30</f>
        <v>448.61191785488739</v>
      </c>
      <c r="T42" s="132">
        <f>'Indirect - Budget VdeM'!K$30</f>
        <v>35.319871953089987</v>
      </c>
      <c r="U42" s="132">
        <f>'Indirect - Budget VdeM'!L$30</f>
        <v>74.225844616996241</v>
      </c>
      <c r="V42" s="132">
        <f>'Indirect - Budget VdeM'!M$30</f>
        <v>55.919789237830194</v>
      </c>
    </row>
    <row r="43" spans="1:22">
      <c r="A43" s="597" t="s">
        <v>176</v>
      </c>
      <c r="B43" s="254"/>
      <c r="C43" s="289"/>
      <c r="D43" s="289"/>
      <c r="E43" s="254"/>
      <c r="G43" s="254"/>
      <c r="H43" s="254"/>
      <c r="I43" s="254"/>
      <c r="J43" s="254"/>
      <c r="K43" s="156">
        <f>'Indirect - Budget VdeM'!J23+'Indirect - Budget VdeM'!J$8+'Indirect - Budget VdeM'!J$7</f>
        <v>1315.3114281813394</v>
      </c>
      <c r="L43" s="156">
        <f>'Indirect - Budget VdeM'!K23+'Indirect - Budget VdeM'!K$8+'Indirect - Budget VdeM'!K$7</f>
        <v>880.2999751834999</v>
      </c>
      <c r="M43" s="156">
        <f>'Indirect - Budget VdeM'!L23+'Indirect - Budget VdeM'!L$8+'Indirect - Budget VdeM'!L$7</f>
        <v>684.37382410691396</v>
      </c>
      <c r="N43" s="156">
        <f>'Indirect - Budget VdeM'!M23+'Indirect - Budget VdeM'!M$8+'Indirect - Budget VdeM'!M$7</f>
        <v>147.70192099764546</v>
      </c>
      <c r="O43" s="254"/>
      <c r="P43" s="254"/>
      <c r="Q43" s="254"/>
      <c r="R43" s="254"/>
      <c r="S43" s="132">
        <f>'Indirect - Budget VdeM'!J$30</f>
        <v>448.61191785488739</v>
      </c>
      <c r="T43" s="132">
        <f>'Indirect - Budget VdeM'!K$30</f>
        <v>35.319871953089987</v>
      </c>
      <c r="U43" s="132">
        <f>'Indirect - Budget VdeM'!L$30</f>
        <v>74.225844616996241</v>
      </c>
      <c r="V43" s="132">
        <f>'Indirect - Budget VdeM'!M$30</f>
        <v>55.919789237830194</v>
      </c>
    </row>
    <row r="44" spans="1:22">
      <c r="A44" s="597" t="s">
        <v>177</v>
      </c>
      <c r="B44" s="254"/>
      <c r="C44" s="289"/>
      <c r="D44" s="289"/>
      <c r="E44" s="254"/>
      <c r="G44" s="254"/>
      <c r="H44" s="254"/>
      <c r="I44" s="254"/>
      <c r="J44" s="254"/>
      <c r="K44" s="156">
        <f>'Indirect - Budget VdeM'!J24+'Indirect - Budget VdeM'!J$8+'Indirect - Budget VdeM'!J$7</f>
        <v>1394.9548008716974</v>
      </c>
      <c r="L44" s="156">
        <f>'Indirect - Budget VdeM'!K24+'Indirect - Budget VdeM'!K$8+'Indirect - Budget VdeM'!K$7</f>
        <v>848.5739504061055</v>
      </c>
      <c r="M44" s="156">
        <f>'Indirect - Budget VdeM'!L24+'Indirect - Budget VdeM'!L$8+'Indirect - Budget VdeM'!L$7</f>
        <v>743.82577600527293</v>
      </c>
      <c r="N44" s="156">
        <f>'Indirect - Budget VdeM'!M24+'Indirect - Budget VdeM'!M$8+'Indirect - Budget VdeM'!M$7</f>
        <v>159.96229079188348</v>
      </c>
      <c r="O44" s="254"/>
      <c r="P44" s="254"/>
      <c r="Q44" s="254"/>
      <c r="R44" s="254"/>
      <c r="S44" s="132">
        <f>'Indirect - Budget VdeM'!J$30</f>
        <v>448.61191785488739</v>
      </c>
      <c r="T44" s="132">
        <f>'Indirect - Budget VdeM'!K$30</f>
        <v>35.319871953089987</v>
      </c>
      <c r="U44" s="132">
        <f>'Indirect - Budget VdeM'!L$30</f>
        <v>74.225844616996241</v>
      </c>
      <c r="V44" s="132">
        <f>'Indirect - Budget VdeM'!M$30</f>
        <v>55.919789237830194</v>
      </c>
    </row>
    <row r="45" spans="1:22">
      <c r="A45" s="597" t="s">
        <v>351</v>
      </c>
      <c r="B45" s="254"/>
      <c r="C45" s="289"/>
      <c r="D45" s="289"/>
      <c r="E45" s="254"/>
      <c r="G45" s="254"/>
      <c r="H45" s="254"/>
      <c r="I45" s="254"/>
      <c r="J45" s="254"/>
      <c r="K45" s="156">
        <f>'Indirect - Budget VdeM'!J25+'Indirect - Budget VdeM'!J$8+'Indirect - Budget VdeM'!J$7</f>
        <v>1306.9472728008502</v>
      </c>
      <c r="L45" s="156">
        <f>'Indirect - Budget VdeM'!K25+'Indirect - Budget VdeM'!K$8+'Indirect - Budget VdeM'!K$7</f>
        <v>859.75795501809739</v>
      </c>
      <c r="M45" s="156">
        <f>'Indirect - Budget VdeM'!L25+'Indirect - Budget VdeM'!L$8+'Indirect - Budget VdeM'!L$7</f>
        <v>678.06468449243926</v>
      </c>
      <c r="N45" s="156">
        <f>'Indirect - Budget VdeM'!M25+'Indirect - Budget VdeM'!M$8+'Indirect - Budget VdeM'!M$7</f>
        <v>146.76115784628129</v>
      </c>
      <c r="O45" s="254"/>
      <c r="P45" s="254"/>
      <c r="Q45" s="254"/>
      <c r="R45" s="254"/>
      <c r="S45" s="132">
        <f>'Indirect - Budget VdeM'!J$30</f>
        <v>448.61191785488739</v>
      </c>
      <c r="T45" s="132">
        <f>'Indirect - Budget VdeM'!K$30</f>
        <v>35.319871953089987</v>
      </c>
      <c r="U45" s="132">
        <f>'Indirect - Budget VdeM'!L$30</f>
        <v>74.225844616996241</v>
      </c>
      <c r="V45" s="132">
        <f>'Indirect - Budget VdeM'!M$30</f>
        <v>55.919789237830194</v>
      </c>
    </row>
    <row r="46" spans="1:22">
      <c r="A46" s="597" t="s">
        <v>856</v>
      </c>
      <c r="B46" s="254"/>
      <c r="C46" s="289"/>
      <c r="D46" s="289"/>
      <c r="E46" s="254"/>
      <c r="G46" s="254"/>
      <c r="H46" s="254"/>
      <c r="I46" s="254"/>
      <c r="J46" s="254"/>
      <c r="K46" s="156">
        <f>'Indirect - Budget VdeM'!J26+'Indirect - Budget VdeM'!J$8+'Indirect - Budget VdeM'!J$7</f>
        <v>1347.2018861928709</v>
      </c>
      <c r="L46" s="156">
        <f>'Indirect - Budget VdeM'!K26+'Indirect - Budget VdeM'!K$8+'Indirect - Budget VdeM'!K$7</f>
        <v>817.74847304041941</v>
      </c>
      <c r="M46" s="156">
        <f>'Indirect - Budget VdeM'!L26+'Indirect - Budget VdeM'!L$8+'Indirect - Budget VdeM'!L$7</f>
        <v>685.65471571714352</v>
      </c>
      <c r="N46" s="156">
        <f>'Indirect - Budget VdeM'!M26+'Indirect - Budget VdeM'!M$8+'Indirect - Budget VdeM'!M$7</f>
        <v>152.04161915737373</v>
      </c>
      <c r="O46" s="254"/>
      <c r="P46" s="254"/>
      <c r="Q46" s="254"/>
      <c r="R46" s="254"/>
      <c r="S46" s="132">
        <f>'Indirect - Budget VdeM'!J$30</f>
        <v>448.61191785488739</v>
      </c>
      <c r="T46" s="132">
        <f>'Indirect - Budget VdeM'!K$30</f>
        <v>35.319871953089987</v>
      </c>
      <c r="U46" s="132">
        <f>'Indirect - Budget VdeM'!L$30</f>
        <v>74.225844616996241</v>
      </c>
      <c r="V46" s="132">
        <f>'Indirect - Budget VdeM'!M$30</f>
        <v>55.919789237830194</v>
      </c>
    </row>
    <row r="47" spans="1:22">
      <c r="A47" s="597" t="s">
        <v>178</v>
      </c>
      <c r="B47" s="254"/>
      <c r="C47" s="289"/>
      <c r="D47" s="289"/>
      <c r="E47" s="254"/>
      <c r="G47" s="254"/>
      <c r="H47" s="254"/>
      <c r="I47" s="254"/>
      <c r="J47" s="254"/>
      <c r="K47" s="156">
        <f>'Indirect - Budget VdeM'!J27+'Indirect - Budget VdeM'!J$8+'Indirect - Budget VdeM'!J$7</f>
        <v>1422.0450085777936</v>
      </c>
      <c r="L47" s="156">
        <f>'Indirect - Budget VdeM'!K27+'Indirect - Budget VdeM'!K$8+'Indirect - Budget VdeM'!K$7</f>
        <v>1157.2302453736975</v>
      </c>
      <c r="M47" s="156">
        <f>'Indirect - Budget VdeM'!L27+'Indirect - Budget VdeM'!L$8+'Indirect - Budget VdeM'!L$7</f>
        <v>685.90370496670857</v>
      </c>
      <c r="N47" s="156">
        <f>'Indirect - Budget VdeM'!M27+'Indirect - Budget VdeM'!M$8+'Indirect - Budget VdeM'!M$7</f>
        <v>158.81317974179669</v>
      </c>
      <c r="O47" s="254"/>
      <c r="P47" s="254"/>
      <c r="Q47" s="254"/>
      <c r="R47" s="254"/>
      <c r="S47" s="132">
        <f>'Indirect - Budget VdeM'!J$30</f>
        <v>448.61191785488739</v>
      </c>
      <c r="T47" s="132">
        <f>'Indirect - Budget VdeM'!K$30</f>
        <v>35.319871953089987</v>
      </c>
      <c r="U47" s="132">
        <f>'Indirect - Budget VdeM'!L$30</f>
        <v>74.225844616996241</v>
      </c>
      <c r="V47" s="132">
        <f>'Indirect - Budget VdeM'!M$30</f>
        <v>55.919789237830194</v>
      </c>
    </row>
    <row r="48" spans="1:22">
      <c r="A48" s="597" t="s">
        <v>179</v>
      </c>
      <c r="B48" s="254"/>
      <c r="C48" s="289"/>
      <c r="D48" s="289"/>
      <c r="E48" s="254"/>
      <c r="G48" s="254"/>
      <c r="H48" s="254"/>
      <c r="I48" s="254"/>
      <c r="J48" s="254"/>
      <c r="K48" s="156">
        <f>'Indirect - Budget VdeM'!J28+'Indirect - Budget VdeM'!J$8+'Indirect - Budget VdeM'!J$7</f>
        <v>1319.6878420716168</v>
      </c>
      <c r="L48" s="156">
        <f>'Indirect - Budget VdeM'!K28+'Indirect - Budget VdeM'!K$8+'Indirect - Budget VdeM'!K$7</f>
        <v>801.9360408311021</v>
      </c>
      <c r="M48" s="156">
        <f>'Indirect - Budget VdeM'!L28+'Indirect - Budget VdeM'!L$8+'Indirect - Budget VdeM'!L$7</f>
        <v>679.45424538440159</v>
      </c>
      <c r="N48" s="156">
        <f>'Indirect - Budget VdeM'!M28+'Indirect - Budget VdeM'!M$8+'Indirect - Budget VdeM'!M$7</f>
        <v>148.37260335046898</v>
      </c>
      <c r="O48" s="254"/>
      <c r="P48" s="254"/>
      <c r="Q48" s="254"/>
      <c r="R48" s="254"/>
      <c r="S48" s="132">
        <f>'Indirect - Budget VdeM'!J$30</f>
        <v>448.61191785488739</v>
      </c>
      <c r="T48" s="132">
        <f>'Indirect - Budget VdeM'!K$30</f>
        <v>35.319871953089987</v>
      </c>
      <c r="U48" s="132">
        <f>'Indirect - Budget VdeM'!L$30</f>
        <v>74.225844616996241</v>
      </c>
      <c r="V48" s="132">
        <f>'Indirect - Budget VdeM'!M$30</f>
        <v>55.919789237830194</v>
      </c>
    </row>
    <row r="49" spans="2:22">
      <c r="C49" s="132"/>
      <c r="D49" s="132"/>
      <c r="K49" s="156"/>
      <c r="L49" s="156"/>
      <c r="M49" s="156"/>
      <c r="N49" s="156"/>
      <c r="S49" s="132"/>
      <c r="T49" s="132"/>
      <c r="U49" s="132"/>
      <c r="V49" s="132"/>
    </row>
    <row r="50" spans="2:22">
      <c r="C50" s="132"/>
      <c r="D50" s="132"/>
      <c r="K50" s="156"/>
      <c r="L50" s="156"/>
      <c r="M50" s="156"/>
      <c r="N50" s="156"/>
      <c r="S50" s="132"/>
      <c r="T50" s="132"/>
      <c r="U50" s="132"/>
      <c r="V50" s="132"/>
    </row>
    <row r="51" spans="2:22">
      <c r="C51" s="132"/>
      <c r="D51" s="132"/>
      <c r="K51" s="156"/>
      <c r="L51" s="156"/>
      <c r="M51" s="156"/>
      <c r="N51" s="156"/>
      <c r="S51" s="132"/>
      <c r="T51" s="132"/>
      <c r="U51" s="132"/>
      <c r="V51" s="132"/>
    </row>
    <row r="52" spans="2:22">
      <c r="C52" s="132"/>
      <c r="D52" s="132"/>
      <c r="K52" s="133"/>
      <c r="L52" s="133"/>
      <c r="M52" s="133"/>
      <c r="N52" s="133"/>
    </row>
    <row r="53" spans="2:22">
      <c r="B53" s="112"/>
      <c r="C53" s="112"/>
      <c r="D53" s="112"/>
      <c r="E53" s="112"/>
      <c r="F53" s="112"/>
      <c r="K53" s="133"/>
      <c r="L53" s="133"/>
      <c r="M53" s="133"/>
      <c r="N53" s="133"/>
    </row>
    <row r="54" spans="2:22">
      <c r="B54" s="112"/>
      <c r="C54" s="67"/>
      <c r="D54" s="67"/>
      <c r="E54" s="67"/>
      <c r="F54" s="67"/>
      <c r="K54" s="133"/>
      <c r="L54" s="133"/>
      <c r="M54" s="133"/>
      <c r="N54" s="133"/>
    </row>
    <row r="55" spans="2:22">
      <c r="B55" s="156"/>
      <c r="C55" s="156"/>
      <c r="D55" s="156"/>
      <c r="E55" s="156"/>
      <c r="F55" s="156"/>
    </row>
    <row r="56" spans="2:22">
      <c r="B56" s="112"/>
      <c r="C56" s="112"/>
      <c r="D56" s="112"/>
      <c r="E56" s="112"/>
      <c r="F56" s="112"/>
    </row>
    <row r="57" spans="2:22">
      <c r="B57" s="112"/>
      <c r="C57" s="112"/>
      <c r="D57" s="112"/>
      <c r="E57" s="112"/>
      <c r="F57" s="112"/>
    </row>
    <row r="58" spans="2:22">
      <c r="B58" s="112"/>
      <c r="C58" s="112"/>
      <c r="D58" s="112"/>
      <c r="E58" s="112"/>
      <c r="F58" s="112"/>
    </row>
    <row r="59" spans="2:22">
      <c r="B59" s="112"/>
      <c r="C59" s="112"/>
      <c r="D59" s="112"/>
      <c r="E59" s="112"/>
      <c r="F59" s="112"/>
    </row>
    <row r="60" spans="2:22">
      <c r="B60" s="234"/>
      <c r="C60" s="234"/>
      <c r="D60" s="234"/>
      <c r="E60" s="234"/>
      <c r="F60" s="234"/>
    </row>
    <row r="61" spans="2:22">
      <c r="B61" s="112"/>
      <c r="C61" s="112"/>
      <c r="D61" s="112"/>
      <c r="E61" s="112"/>
      <c r="F61" s="112"/>
    </row>
    <row r="62" spans="2:22">
      <c r="B62" s="112"/>
      <c r="C62" s="112"/>
      <c r="D62" s="112"/>
      <c r="E62" s="112"/>
      <c r="F62" s="112"/>
    </row>
    <row r="63" spans="2:22">
      <c r="B63" s="112"/>
      <c r="C63" s="112"/>
      <c r="D63" s="112"/>
      <c r="E63" s="112"/>
      <c r="F63" s="112"/>
    </row>
    <row r="64" spans="2:22">
      <c r="B64" s="112"/>
      <c r="C64" s="112"/>
      <c r="D64" s="112"/>
      <c r="E64" s="112"/>
      <c r="F64" s="112"/>
    </row>
    <row r="65" spans="2:6">
      <c r="B65" s="112"/>
      <c r="C65" s="112"/>
      <c r="D65" s="112"/>
      <c r="E65" s="112"/>
      <c r="F65" s="112"/>
    </row>
    <row r="66" spans="2:6">
      <c r="B66" s="112"/>
      <c r="C66" s="112"/>
      <c r="D66" s="112"/>
      <c r="E66" s="112"/>
      <c r="F66" s="112"/>
    </row>
    <row r="67" spans="2:6">
      <c r="B67" s="112"/>
      <c r="C67" s="112"/>
      <c r="D67" s="112"/>
      <c r="E67" s="112"/>
      <c r="F67" s="112"/>
    </row>
    <row r="68" spans="2:6">
      <c r="C68" s="132"/>
      <c r="D68" s="132"/>
    </row>
    <row r="69" spans="2:6">
      <c r="C69" s="132"/>
      <c r="D69" s="132"/>
    </row>
    <row r="70" spans="2:6">
      <c r="C70" s="132"/>
      <c r="D70" s="132"/>
    </row>
    <row r="71" spans="2:6">
      <c r="C71" s="132"/>
      <c r="D71" s="132"/>
    </row>
    <row r="72" spans="2:6">
      <c r="C72" s="132"/>
      <c r="D72" s="132"/>
    </row>
    <row r="73" spans="2:6">
      <c r="C73" s="132"/>
      <c r="D73" s="132"/>
    </row>
    <row r="74" spans="2:6">
      <c r="C74" s="132"/>
      <c r="D74" s="132"/>
    </row>
    <row r="75" spans="2:6">
      <c r="C75" s="132"/>
      <c r="D75" s="132"/>
    </row>
    <row r="76" spans="2:6">
      <c r="C76" s="132"/>
      <c r="D76" s="132"/>
    </row>
    <row r="77" spans="2:6">
      <c r="C77" s="132"/>
      <c r="D77" s="132"/>
    </row>
    <row r="78" spans="2:6">
      <c r="C78" s="132"/>
      <c r="D78" s="132"/>
    </row>
    <row r="79" spans="2:6">
      <c r="C79" s="132"/>
      <c r="D79" s="132"/>
    </row>
    <row r="80" spans="2:6">
      <c r="C80" s="132"/>
      <c r="D80" s="132"/>
    </row>
    <row r="81" spans="3:4">
      <c r="C81" s="132"/>
      <c r="D81" s="132"/>
    </row>
    <row r="82" spans="3:4">
      <c r="C82" s="132"/>
      <c r="D82" s="132"/>
    </row>
    <row r="83" spans="3:4">
      <c r="C83" s="132"/>
      <c r="D83" s="132"/>
    </row>
    <row r="84" spans="3:4">
      <c r="C84" s="132"/>
      <c r="D84" s="132"/>
    </row>
    <row r="85" spans="3:4">
      <c r="C85" s="132"/>
      <c r="D85" s="132"/>
    </row>
    <row r="86" spans="3:4">
      <c r="C86" s="132"/>
      <c r="D86" s="132"/>
    </row>
    <row r="87" spans="3:4">
      <c r="C87" s="132"/>
      <c r="D87" s="132"/>
    </row>
    <row r="88" spans="3:4">
      <c r="C88" s="132"/>
      <c r="D88" s="132"/>
    </row>
    <row r="89" spans="3:4">
      <c r="C89" s="132"/>
      <c r="D89" s="132"/>
    </row>
    <row r="90" spans="3:4">
      <c r="C90" s="132"/>
      <c r="D90" s="132"/>
    </row>
    <row r="91" spans="3:4">
      <c r="C91" s="132"/>
      <c r="D91" s="132"/>
    </row>
    <row r="92" spans="3:4">
      <c r="C92" s="132"/>
      <c r="D92" s="132"/>
    </row>
    <row r="93" spans="3:4">
      <c r="C93" s="132"/>
      <c r="D93" s="132"/>
    </row>
    <row r="94" spans="3:4">
      <c r="C94" s="132"/>
      <c r="D94" s="132"/>
    </row>
    <row r="95" spans="3:4">
      <c r="C95" s="132"/>
      <c r="D95" s="132"/>
    </row>
    <row r="96" spans="3:4">
      <c r="C96" s="132"/>
      <c r="D96" s="132"/>
    </row>
    <row r="97" spans="3:4">
      <c r="C97" s="132"/>
      <c r="D97" s="132"/>
    </row>
    <row r="98" spans="3:4">
      <c r="C98" s="132"/>
      <c r="D98" s="132"/>
    </row>
    <row r="99" spans="3:4">
      <c r="C99" s="132"/>
      <c r="D99" s="132"/>
    </row>
    <row r="100" spans="3:4">
      <c r="C100" s="132"/>
      <c r="D100" s="132"/>
    </row>
    <row r="101" spans="3:4">
      <c r="C101" s="132"/>
      <c r="D101" s="132"/>
    </row>
    <row r="102" spans="3:4">
      <c r="C102" s="132"/>
      <c r="D102" s="132"/>
    </row>
    <row r="103" spans="3:4">
      <c r="C103" s="132"/>
      <c r="D103" s="132"/>
    </row>
    <row r="104" spans="3:4">
      <c r="C104" s="132"/>
      <c r="D104" s="132"/>
    </row>
    <row r="105" spans="3:4">
      <c r="C105" s="132"/>
      <c r="D105" s="132"/>
    </row>
    <row r="106" spans="3:4">
      <c r="C106" s="132"/>
      <c r="D106" s="132"/>
    </row>
    <row r="107" spans="3:4">
      <c r="C107" s="132"/>
      <c r="D107" s="132"/>
    </row>
    <row r="108" spans="3:4">
      <c r="C108" s="132"/>
      <c r="D108" s="132"/>
    </row>
    <row r="109" spans="3:4">
      <c r="C109" s="132"/>
      <c r="D109" s="132"/>
    </row>
    <row r="110" spans="3:4">
      <c r="C110" s="132"/>
      <c r="D110" s="132"/>
    </row>
    <row r="111" spans="3:4">
      <c r="C111" s="132"/>
      <c r="D111" s="132"/>
    </row>
    <row r="112" spans="3:4">
      <c r="C112" s="132"/>
      <c r="D112" s="132"/>
    </row>
    <row r="113" spans="3:4">
      <c r="C113" s="132"/>
      <c r="D113" s="132"/>
    </row>
    <row r="114" spans="3:4">
      <c r="C114" s="132"/>
      <c r="D114" s="132"/>
    </row>
    <row r="115" spans="3:4">
      <c r="C115" s="132"/>
      <c r="D115" s="132"/>
    </row>
    <row r="116" spans="3:4">
      <c r="C116" s="132"/>
      <c r="D116" s="132"/>
    </row>
    <row r="117" spans="3:4">
      <c r="C117" s="132"/>
      <c r="D117" s="132"/>
    </row>
    <row r="118" spans="3:4">
      <c r="C118" s="132"/>
      <c r="D118" s="132"/>
    </row>
    <row r="119" spans="3:4">
      <c r="C119" s="132"/>
      <c r="D119" s="132"/>
    </row>
    <row r="120" spans="3:4">
      <c r="C120" s="132"/>
      <c r="D120" s="132"/>
    </row>
    <row r="121" spans="3:4">
      <c r="C121" s="132"/>
      <c r="D121" s="132"/>
    </row>
    <row r="122" spans="3:4">
      <c r="C122" s="132"/>
      <c r="D122" s="132"/>
    </row>
    <row r="123" spans="3:4">
      <c r="C123" s="132"/>
      <c r="D123" s="132"/>
    </row>
    <row r="124" spans="3:4">
      <c r="C124" s="132"/>
      <c r="D124" s="132"/>
    </row>
    <row r="125" spans="3:4">
      <c r="C125" s="132"/>
      <c r="D125" s="132"/>
    </row>
    <row r="126" spans="3:4">
      <c r="C126" s="132"/>
      <c r="D126" s="132"/>
    </row>
    <row r="127" spans="3:4">
      <c r="C127" s="132"/>
      <c r="D127" s="132"/>
    </row>
    <row r="128" spans="3:4">
      <c r="C128" s="132"/>
      <c r="D128" s="132"/>
    </row>
    <row r="129" spans="3:4">
      <c r="C129" s="132"/>
      <c r="D129" s="132"/>
    </row>
    <row r="130" spans="3:4">
      <c r="C130" s="132"/>
      <c r="D130" s="132"/>
    </row>
    <row r="131" spans="3:4">
      <c r="C131" s="132"/>
      <c r="D131" s="132"/>
    </row>
    <row r="132" spans="3:4">
      <c r="C132" s="132"/>
      <c r="D132" s="132"/>
    </row>
    <row r="133" spans="3:4">
      <c r="C133" s="132"/>
      <c r="D133" s="132"/>
    </row>
    <row r="134" spans="3:4">
      <c r="C134" s="132"/>
      <c r="D134" s="132"/>
    </row>
    <row r="135" spans="3:4">
      <c r="C135" s="132"/>
      <c r="D135" s="132"/>
    </row>
    <row r="136" spans="3:4">
      <c r="C136" s="132"/>
      <c r="D136" s="132"/>
    </row>
    <row r="137" spans="3:4">
      <c r="C137" s="132"/>
      <c r="D137" s="132"/>
    </row>
    <row r="138" spans="3:4">
      <c r="C138" s="132"/>
      <c r="D138" s="132"/>
    </row>
    <row r="139" spans="3:4">
      <c r="C139" s="132"/>
      <c r="D139" s="132"/>
    </row>
    <row r="140" spans="3:4">
      <c r="C140" s="132"/>
      <c r="D140" s="132"/>
    </row>
    <row r="141" spans="3:4">
      <c r="C141" s="132"/>
      <c r="D141" s="132"/>
    </row>
    <row r="142" spans="3:4">
      <c r="C142" s="132"/>
      <c r="D142" s="132"/>
    </row>
    <row r="143" spans="3:4">
      <c r="C143" s="132"/>
      <c r="D143" s="132"/>
    </row>
    <row r="144" spans="3:4">
      <c r="C144" s="132"/>
      <c r="D144" s="132"/>
    </row>
    <row r="145" spans="3:4">
      <c r="C145" s="132"/>
      <c r="D145" s="132"/>
    </row>
    <row r="146" spans="3:4">
      <c r="C146" s="132"/>
      <c r="D146" s="132"/>
    </row>
    <row r="147" spans="3:4">
      <c r="C147" s="132"/>
      <c r="D147" s="132"/>
    </row>
    <row r="148" spans="3:4">
      <c r="C148" s="132"/>
      <c r="D148" s="132"/>
    </row>
    <row r="149" spans="3:4">
      <c r="C149" s="132"/>
      <c r="D149" s="132"/>
    </row>
    <row r="150" spans="3:4">
      <c r="C150" s="132"/>
      <c r="D150" s="132"/>
    </row>
    <row r="151" spans="3:4">
      <c r="C151" s="132"/>
      <c r="D151" s="132"/>
    </row>
    <row r="152" spans="3:4">
      <c r="C152" s="132"/>
      <c r="D152" s="132"/>
    </row>
    <row r="153" spans="3:4">
      <c r="C153" s="132"/>
      <c r="D153" s="132"/>
    </row>
    <row r="154" spans="3:4">
      <c r="C154" s="132"/>
      <c r="D154" s="132"/>
    </row>
    <row r="155" spans="3:4">
      <c r="C155" s="132"/>
      <c r="D155" s="132"/>
    </row>
    <row r="156" spans="3:4">
      <c r="C156" s="132"/>
      <c r="D156" s="132"/>
    </row>
    <row r="157" spans="3:4">
      <c r="C157" s="132"/>
      <c r="D157" s="132"/>
    </row>
    <row r="158" spans="3:4">
      <c r="C158" s="132"/>
      <c r="D158" s="132"/>
    </row>
    <row r="159" spans="3:4">
      <c r="C159" s="132"/>
      <c r="D159" s="132"/>
    </row>
    <row r="160" spans="3:4">
      <c r="C160" s="132"/>
      <c r="D160" s="132"/>
    </row>
    <row r="161" spans="3:4">
      <c r="C161" s="132"/>
      <c r="D161" s="132"/>
    </row>
    <row r="162" spans="3:4">
      <c r="C162" s="132"/>
      <c r="D162" s="132"/>
    </row>
    <row r="163" spans="3:4">
      <c r="C163" s="132"/>
      <c r="D163" s="132"/>
    </row>
    <row r="164" spans="3:4">
      <c r="C164" s="132"/>
      <c r="D164" s="132"/>
    </row>
    <row r="165" spans="3:4">
      <c r="C165" s="132"/>
      <c r="D165" s="132"/>
    </row>
    <row r="166" spans="3:4">
      <c r="C166" s="132"/>
      <c r="D166" s="132"/>
    </row>
    <row r="167" spans="3:4">
      <c r="C167" s="132"/>
      <c r="D167" s="132"/>
    </row>
    <row r="168" spans="3:4">
      <c r="C168" s="132"/>
      <c r="D168" s="132"/>
    </row>
    <row r="169" spans="3:4">
      <c r="C169" s="132"/>
      <c r="D169" s="132"/>
    </row>
    <row r="170" spans="3:4">
      <c r="C170" s="132"/>
      <c r="D170" s="132"/>
    </row>
    <row r="171" spans="3:4">
      <c r="C171" s="132"/>
      <c r="D171" s="132"/>
    </row>
    <row r="172" spans="3:4">
      <c r="C172" s="132"/>
      <c r="D172" s="132"/>
    </row>
    <row r="173" spans="3:4">
      <c r="C173" s="132"/>
      <c r="D173" s="132"/>
    </row>
    <row r="174" spans="3:4">
      <c r="C174" s="132"/>
      <c r="D174" s="132"/>
    </row>
    <row r="175" spans="3:4">
      <c r="C175" s="132"/>
      <c r="D175" s="132"/>
    </row>
    <row r="176" spans="3:4">
      <c r="C176" s="132"/>
      <c r="D176" s="132"/>
    </row>
    <row r="177" spans="3:4">
      <c r="C177" s="132"/>
      <c r="D177" s="132"/>
    </row>
    <row r="178" spans="3:4">
      <c r="C178" s="132"/>
      <c r="D178" s="132"/>
    </row>
    <row r="179" spans="3:4">
      <c r="C179" s="132"/>
      <c r="D179" s="132"/>
    </row>
    <row r="180" spans="3:4">
      <c r="C180" s="132"/>
      <c r="D180" s="132"/>
    </row>
    <row r="181" spans="3:4">
      <c r="C181" s="132"/>
      <c r="D181" s="132"/>
    </row>
    <row r="182" spans="3:4">
      <c r="C182" s="132"/>
      <c r="D182" s="132"/>
    </row>
    <row r="183" spans="3:4">
      <c r="C183" s="132"/>
      <c r="D183" s="132"/>
    </row>
    <row r="184" spans="3:4">
      <c r="C184" s="132"/>
      <c r="D184" s="132"/>
    </row>
    <row r="185" spans="3:4">
      <c r="C185" s="132"/>
      <c r="D185" s="132"/>
    </row>
    <row r="186" spans="3:4">
      <c r="C186" s="132"/>
      <c r="D186" s="132"/>
    </row>
    <row r="187" spans="3:4">
      <c r="C187" s="132"/>
      <c r="D187" s="132"/>
    </row>
    <row r="188" spans="3:4">
      <c r="C188" s="132"/>
      <c r="D188" s="132"/>
    </row>
    <row r="189" spans="3:4">
      <c r="C189" s="132"/>
      <c r="D189" s="132"/>
    </row>
    <row r="190" spans="3:4">
      <c r="C190" s="132"/>
      <c r="D190" s="132"/>
    </row>
    <row r="191" spans="3:4">
      <c r="C191" s="132"/>
      <c r="D191" s="132"/>
    </row>
    <row r="192" spans="3:4">
      <c r="C192" s="132"/>
      <c r="D192" s="132"/>
    </row>
    <row r="193" spans="3:4">
      <c r="C193" s="132"/>
      <c r="D193" s="132"/>
    </row>
    <row r="194" spans="3:4">
      <c r="C194" s="132"/>
      <c r="D194" s="132"/>
    </row>
    <row r="195" spans="3:4">
      <c r="C195" s="132"/>
      <c r="D195" s="132"/>
    </row>
    <row r="196" spans="3:4">
      <c r="C196" s="132"/>
      <c r="D196" s="132"/>
    </row>
    <row r="197" spans="3:4">
      <c r="C197" s="132"/>
      <c r="D197" s="132"/>
    </row>
    <row r="198" spans="3:4">
      <c r="C198" s="132"/>
      <c r="D198" s="132"/>
    </row>
    <row r="199" spans="3:4">
      <c r="C199" s="132"/>
      <c r="D199" s="132"/>
    </row>
    <row r="200" spans="3:4">
      <c r="C200" s="132"/>
      <c r="D200" s="132"/>
    </row>
    <row r="201" spans="3:4">
      <c r="C201" s="132"/>
      <c r="D201" s="132"/>
    </row>
    <row r="202" spans="3:4">
      <c r="C202" s="132"/>
      <c r="D202" s="132"/>
    </row>
    <row r="203" spans="3:4">
      <c r="C203" s="132"/>
      <c r="D203" s="132"/>
    </row>
    <row r="204" spans="3:4">
      <c r="C204" s="132"/>
      <c r="D204" s="132"/>
    </row>
    <row r="205" spans="3:4">
      <c r="C205" s="132"/>
      <c r="D205" s="132"/>
    </row>
    <row r="206" spans="3:4">
      <c r="C206" s="132"/>
      <c r="D206" s="132"/>
    </row>
    <row r="207" spans="3:4">
      <c r="C207" s="132"/>
      <c r="D207" s="132"/>
    </row>
    <row r="208" spans="3:4">
      <c r="C208" s="132"/>
      <c r="D208" s="132"/>
    </row>
    <row r="209" spans="3:4">
      <c r="C209" s="132"/>
      <c r="D209" s="132"/>
    </row>
    <row r="210" spans="3:4">
      <c r="C210" s="132"/>
      <c r="D210" s="132"/>
    </row>
    <row r="211" spans="3:4">
      <c r="C211" s="132"/>
      <c r="D211" s="132"/>
    </row>
    <row r="212" spans="3:4">
      <c r="C212" s="132"/>
      <c r="D212" s="132"/>
    </row>
    <row r="213" spans="3:4">
      <c r="C213" s="132"/>
      <c r="D213" s="132"/>
    </row>
    <row r="214" spans="3:4">
      <c r="C214" s="132"/>
      <c r="D214" s="132"/>
    </row>
    <row r="215" spans="3:4">
      <c r="C215" s="132"/>
      <c r="D215" s="132"/>
    </row>
    <row r="216" spans="3:4">
      <c r="C216" s="132"/>
      <c r="D216" s="132"/>
    </row>
    <row r="217" spans="3:4">
      <c r="C217" s="132"/>
      <c r="D217" s="132"/>
    </row>
    <row r="218" spans="3:4">
      <c r="C218" s="132"/>
      <c r="D218" s="132"/>
    </row>
    <row r="219" spans="3:4">
      <c r="C219" s="132"/>
      <c r="D219" s="132"/>
    </row>
    <row r="220" spans="3:4">
      <c r="C220" s="132"/>
      <c r="D220" s="132"/>
    </row>
    <row r="221" spans="3:4">
      <c r="C221" s="132"/>
      <c r="D221" s="132"/>
    </row>
    <row r="222" spans="3:4">
      <c r="C222" s="132"/>
      <c r="D222" s="132"/>
    </row>
    <row r="223" spans="3:4">
      <c r="C223" s="132"/>
      <c r="D223" s="132"/>
    </row>
    <row r="224" spans="3:4">
      <c r="C224" s="132"/>
      <c r="D224" s="132"/>
    </row>
    <row r="225" spans="3:4">
      <c r="C225" s="132"/>
      <c r="D225" s="132"/>
    </row>
    <row r="226" spans="3:4">
      <c r="C226" s="132"/>
      <c r="D226" s="132"/>
    </row>
    <row r="227" spans="3:4">
      <c r="C227" s="132"/>
      <c r="D227" s="132"/>
    </row>
    <row r="228" spans="3:4">
      <c r="C228" s="132"/>
      <c r="D228" s="132"/>
    </row>
    <row r="229" spans="3:4">
      <c r="C229" s="132"/>
      <c r="D229" s="132"/>
    </row>
    <row r="230" spans="3:4">
      <c r="C230" s="132"/>
      <c r="D230" s="132"/>
    </row>
    <row r="231" spans="3:4">
      <c r="C231" s="132"/>
      <c r="D231" s="132"/>
    </row>
    <row r="232" spans="3:4">
      <c r="C232" s="132"/>
      <c r="D232" s="132"/>
    </row>
    <row r="233" spans="3:4">
      <c r="C233" s="132"/>
      <c r="D233" s="132"/>
    </row>
    <row r="234" spans="3:4">
      <c r="C234" s="132"/>
      <c r="D234" s="132"/>
    </row>
    <row r="235" spans="3:4">
      <c r="C235" s="132"/>
      <c r="D235" s="132"/>
    </row>
    <row r="236" spans="3:4">
      <c r="C236" s="132"/>
      <c r="D236" s="132"/>
    </row>
    <row r="237" spans="3:4">
      <c r="C237" s="132"/>
      <c r="D237" s="132"/>
    </row>
    <row r="238" spans="3:4">
      <c r="C238" s="132"/>
      <c r="D238" s="132"/>
    </row>
    <row r="239" spans="3:4">
      <c r="C239" s="132"/>
      <c r="D239" s="132"/>
    </row>
    <row r="240" spans="3:4">
      <c r="C240" s="132"/>
      <c r="D240" s="132"/>
    </row>
    <row r="241" spans="3:4">
      <c r="C241" s="132"/>
      <c r="D241" s="132"/>
    </row>
    <row r="242" spans="3:4">
      <c r="C242" s="132"/>
      <c r="D242" s="132"/>
    </row>
    <row r="243" spans="3:4">
      <c r="C243" s="132"/>
      <c r="D243" s="132"/>
    </row>
    <row r="244" spans="3:4">
      <c r="C244" s="132"/>
      <c r="D244" s="132"/>
    </row>
    <row r="245" spans="3:4">
      <c r="C245" s="132"/>
      <c r="D245" s="132"/>
    </row>
    <row r="246" spans="3:4">
      <c r="C246" s="132"/>
      <c r="D246" s="132"/>
    </row>
    <row r="247" spans="3:4">
      <c r="C247" s="132"/>
      <c r="D247" s="132"/>
    </row>
    <row r="248" spans="3:4">
      <c r="C248" s="132"/>
      <c r="D248" s="132"/>
    </row>
    <row r="249" spans="3:4">
      <c r="C249" s="132"/>
      <c r="D249" s="132"/>
    </row>
    <row r="250" spans="3:4">
      <c r="C250" s="132"/>
      <c r="D250" s="132"/>
    </row>
    <row r="251" spans="3:4">
      <c r="C251" s="132"/>
      <c r="D251" s="132"/>
    </row>
    <row r="252" spans="3:4">
      <c r="C252" s="132"/>
      <c r="D252" s="132"/>
    </row>
    <row r="253" spans="3:4">
      <c r="C253" s="132"/>
      <c r="D253" s="132"/>
    </row>
    <row r="254" spans="3:4">
      <c r="C254" s="132"/>
      <c r="D254" s="132"/>
    </row>
    <row r="255" spans="3:4">
      <c r="C255" s="132"/>
      <c r="D255" s="132"/>
    </row>
    <row r="256" spans="3:4">
      <c r="C256" s="132"/>
      <c r="D256" s="132"/>
    </row>
    <row r="257" spans="3:4">
      <c r="C257" s="132"/>
      <c r="D257" s="132"/>
    </row>
    <row r="258" spans="3:4">
      <c r="C258" s="132"/>
      <c r="D258" s="132"/>
    </row>
    <row r="259" spans="3:4">
      <c r="C259" s="132"/>
      <c r="D259" s="132"/>
    </row>
    <row r="260" spans="3:4">
      <c r="C260" s="132"/>
      <c r="D260" s="132"/>
    </row>
    <row r="261" spans="3:4">
      <c r="C261" s="132"/>
      <c r="D261" s="132"/>
    </row>
    <row r="262" spans="3:4">
      <c r="C262" s="132"/>
      <c r="D262" s="132"/>
    </row>
    <row r="263" spans="3:4">
      <c r="C263" s="132"/>
      <c r="D263" s="132"/>
    </row>
    <row r="264" spans="3:4">
      <c r="C264" s="132"/>
      <c r="D264" s="132"/>
    </row>
    <row r="265" spans="3:4">
      <c r="C265" s="132"/>
      <c r="D265" s="132"/>
    </row>
    <row r="266" spans="3:4">
      <c r="C266" s="132"/>
      <c r="D266" s="132"/>
    </row>
    <row r="267" spans="3:4">
      <c r="C267" s="132"/>
      <c r="D267" s="132"/>
    </row>
    <row r="268" spans="3:4">
      <c r="C268" s="132"/>
      <c r="D268" s="132"/>
    </row>
    <row r="269" spans="3:4">
      <c r="C269" s="132"/>
      <c r="D269" s="132"/>
    </row>
    <row r="270" spans="3:4">
      <c r="C270" s="132"/>
      <c r="D270" s="132"/>
    </row>
    <row r="271" spans="3:4">
      <c r="C271" s="132"/>
      <c r="D271" s="132"/>
    </row>
    <row r="272" spans="3:4">
      <c r="C272" s="132"/>
      <c r="D272" s="132"/>
    </row>
    <row r="273" spans="3:4">
      <c r="C273" s="132"/>
      <c r="D273" s="132"/>
    </row>
    <row r="274" spans="3:4">
      <c r="C274" s="132"/>
      <c r="D274" s="132"/>
    </row>
    <row r="275" spans="3:4">
      <c r="C275" s="132"/>
      <c r="D275" s="132"/>
    </row>
    <row r="276" spans="3:4">
      <c r="C276" s="132"/>
      <c r="D276" s="132"/>
    </row>
    <row r="277" spans="3:4">
      <c r="C277" s="132"/>
      <c r="D277" s="132"/>
    </row>
    <row r="278" spans="3:4">
      <c r="C278" s="132"/>
      <c r="D278" s="132"/>
    </row>
    <row r="279" spans="3:4">
      <c r="C279" s="132"/>
      <c r="D279" s="132"/>
    </row>
    <row r="280" spans="3:4">
      <c r="C280" s="132"/>
      <c r="D280" s="132"/>
    </row>
    <row r="281" spans="3:4">
      <c r="C281" s="132"/>
      <c r="D281" s="132"/>
    </row>
    <row r="282" spans="3:4">
      <c r="C282" s="132"/>
      <c r="D282" s="132"/>
    </row>
    <row r="283" spans="3:4">
      <c r="C283" s="132"/>
      <c r="D283" s="132"/>
    </row>
    <row r="284" spans="3:4">
      <c r="C284" s="132"/>
      <c r="D284" s="132"/>
    </row>
    <row r="285" spans="3:4">
      <c r="C285" s="132"/>
      <c r="D285" s="132"/>
    </row>
    <row r="286" spans="3:4">
      <c r="C286" s="132"/>
      <c r="D286" s="132"/>
    </row>
    <row r="287" spans="3:4">
      <c r="C287" s="132"/>
      <c r="D287" s="132"/>
    </row>
    <row r="288" spans="3:4">
      <c r="C288" s="132"/>
      <c r="D288" s="132"/>
    </row>
    <row r="289" spans="3:4">
      <c r="C289" s="132"/>
      <c r="D289" s="132"/>
    </row>
    <row r="290" spans="3:4">
      <c r="C290" s="132"/>
      <c r="D290" s="132"/>
    </row>
    <row r="291" spans="3:4">
      <c r="C291" s="132"/>
      <c r="D291" s="132"/>
    </row>
    <row r="292" spans="3:4">
      <c r="C292" s="132"/>
      <c r="D292" s="132"/>
    </row>
    <row r="293" spans="3:4">
      <c r="C293" s="132"/>
      <c r="D293" s="132"/>
    </row>
    <row r="294" spans="3:4">
      <c r="C294" s="132"/>
      <c r="D294" s="132"/>
    </row>
    <row r="295" spans="3:4">
      <c r="C295" s="132"/>
      <c r="D295" s="132"/>
    </row>
    <row r="296" spans="3:4">
      <c r="C296" s="132"/>
      <c r="D296" s="132"/>
    </row>
    <row r="297" spans="3:4">
      <c r="C297" s="132"/>
      <c r="D297" s="132"/>
    </row>
    <row r="298" spans="3:4">
      <c r="C298" s="132"/>
      <c r="D298" s="132"/>
    </row>
    <row r="299" spans="3:4">
      <c r="C299" s="132"/>
      <c r="D299" s="132"/>
    </row>
    <row r="300" spans="3:4">
      <c r="C300" s="132"/>
      <c r="D300" s="132"/>
    </row>
    <row r="301" spans="3:4">
      <c r="C301" s="132"/>
      <c r="D301" s="132"/>
    </row>
    <row r="302" spans="3:4">
      <c r="C302" s="132"/>
      <c r="D302" s="132"/>
    </row>
    <row r="303" spans="3:4">
      <c r="C303" s="132"/>
      <c r="D303" s="132"/>
    </row>
    <row r="304" spans="3:4">
      <c r="C304" s="132"/>
      <c r="D304" s="132"/>
    </row>
    <row r="305" spans="3:4">
      <c r="C305" s="132"/>
      <c r="D305" s="132"/>
    </row>
    <row r="306" spans="3:4">
      <c r="C306" s="132"/>
      <c r="D306" s="132"/>
    </row>
    <row r="307" spans="3:4">
      <c r="C307" s="132"/>
      <c r="D307" s="132"/>
    </row>
    <row r="308" spans="3:4">
      <c r="C308" s="132"/>
      <c r="D308" s="132"/>
    </row>
    <row r="309" spans="3:4">
      <c r="C309" s="132"/>
      <c r="D309" s="132"/>
    </row>
    <row r="310" spans="3:4">
      <c r="C310" s="132"/>
      <c r="D310" s="132"/>
    </row>
    <row r="311" spans="3:4">
      <c r="C311" s="132"/>
      <c r="D311" s="132"/>
    </row>
    <row r="312" spans="3:4">
      <c r="C312" s="132"/>
      <c r="D312" s="132"/>
    </row>
    <row r="313" spans="3:4">
      <c r="C313" s="132"/>
      <c r="D313" s="132"/>
    </row>
    <row r="314" spans="3:4">
      <c r="C314" s="132"/>
      <c r="D314" s="132"/>
    </row>
    <row r="315" spans="3:4">
      <c r="C315" s="132"/>
      <c r="D315" s="132"/>
    </row>
    <row r="316" spans="3:4">
      <c r="C316" s="132"/>
      <c r="D316" s="132"/>
    </row>
    <row r="317" spans="3:4">
      <c r="C317" s="132"/>
      <c r="D317" s="132"/>
    </row>
    <row r="318" spans="3:4">
      <c r="C318" s="132"/>
      <c r="D318" s="132"/>
    </row>
    <row r="319" spans="3:4">
      <c r="C319" s="132"/>
      <c r="D319" s="132"/>
    </row>
    <row r="320" spans="3:4">
      <c r="C320" s="132"/>
      <c r="D320" s="132"/>
    </row>
    <row r="321" spans="3:4">
      <c r="C321" s="132"/>
      <c r="D321" s="132"/>
    </row>
    <row r="322" spans="3:4">
      <c r="C322" s="132"/>
      <c r="D322" s="132"/>
    </row>
    <row r="323" spans="3:4">
      <c r="C323" s="132"/>
      <c r="D323" s="132"/>
    </row>
    <row r="324" spans="3:4">
      <c r="C324" s="132"/>
      <c r="D324" s="132"/>
    </row>
    <row r="325" spans="3:4">
      <c r="C325" s="132"/>
      <c r="D325" s="132"/>
    </row>
    <row r="326" spans="3:4">
      <c r="C326" s="132"/>
      <c r="D326" s="132"/>
    </row>
    <row r="327" spans="3:4">
      <c r="C327" s="132"/>
      <c r="D327" s="132"/>
    </row>
    <row r="328" spans="3:4">
      <c r="C328" s="132"/>
      <c r="D328" s="132"/>
    </row>
    <row r="329" spans="3:4">
      <c r="C329" s="132"/>
      <c r="D329" s="132"/>
    </row>
    <row r="330" spans="3:4">
      <c r="C330" s="132"/>
      <c r="D330" s="132"/>
    </row>
    <row r="331" spans="3:4">
      <c r="C331" s="132"/>
      <c r="D331" s="132"/>
    </row>
    <row r="332" spans="3:4">
      <c r="C332" s="132"/>
      <c r="D332" s="132"/>
    </row>
    <row r="333" spans="3:4">
      <c r="C333" s="132"/>
      <c r="D333" s="132"/>
    </row>
    <row r="334" spans="3:4">
      <c r="C334" s="132"/>
      <c r="D334" s="132"/>
    </row>
    <row r="335" spans="3:4">
      <c r="C335" s="132"/>
      <c r="D335" s="132"/>
    </row>
    <row r="336" spans="3:4">
      <c r="C336" s="132"/>
      <c r="D336" s="132"/>
    </row>
    <row r="337" spans="3:4">
      <c r="C337" s="132"/>
      <c r="D337" s="132"/>
    </row>
    <row r="338" spans="3:4">
      <c r="C338" s="132"/>
      <c r="D338" s="132"/>
    </row>
    <row r="339" spans="3:4">
      <c r="C339" s="132"/>
      <c r="D339" s="132"/>
    </row>
    <row r="340" spans="3:4">
      <c r="C340" s="132"/>
      <c r="D340" s="132"/>
    </row>
    <row r="341" spans="3:4">
      <c r="C341" s="132"/>
      <c r="D341" s="132"/>
    </row>
    <row r="342" spans="3:4">
      <c r="C342" s="132"/>
      <c r="D342" s="132"/>
    </row>
    <row r="343" spans="3:4">
      <c r="C343" s="132"/>
      <c r="D343" s="132"/>
    </row>
    <row r="344" spans="3:4">
      <c r="C344" s="132"/>
      <c r="D344" s="132"/>
    </row>
    <row r="345" spans="3:4">
      <c r="C345" s="132"/>
      <c r="D345" s="132"/>
    </row>
    <row r="346" spans="3:4">
      <c r="C346" s="132"/>
      <c r="D346" s="132"/>
    </row>
    <row r="347" spans="3:4">
      <c r="C347" s="132"/>
      <c r="D347" s="132"/>
    </row>
    <row r="348" spans="3:4">
      <c r="C348" s="132"/>
      <c r="D348" s="132"/>
    </row>
    <row r="349" spans="3:4">
      <c r="C349" s="132"/>
      <c r="D349" s="132"/>
    </row>
    <row r="350" spans="3:4">
      <c r="C350" s="132"/>
      <c r="D350" s="132"/>
    </row>
    <row r="351" spans="3:4">
      <c r="C351" s="132"/>
      <c r="D351" s="132"/>
    </row>
    <row r="352" spans="3:4">
      <c r="C352" s="132"/>
      <c r="D352" s="132"/>
    </row>
    <row r="353" spans="3:4">
      <c r="C353" s="132"/>
      <c r="D353" s="132"/>
    </row>
    <row r="354" spans="3:4">
      <c r="C354" s="132"/>
      <c r="D354" s="132"/>
    </row>
    <row r="355" spans="3:4">
      <c r="C355" s="132"/>
      <c r="D355" s="132"/>
    </row>
    <row r="356" spans="3:4">
      <c r="C356" s="132"/>
      <c r="D356" s="132"/>
    </row>
    <row r="357" spans="3:4">
      <c r="C357" s="132"/>
      <c r="D357" s="132"/>
    </row>
    <row r="358" spans="3:4">
      <c r="C358" s="132"/>
      <c r="D358" s="132"/>
    </row>
    <row r="359" spans="3:4">
      <c r="C359" s="132"/>
      <c r="D359" s="132"/>
    </row>
    <row r="360" spans="3:4">
      <c r="C360" s="132"/>
      <c r="D360" s="132"/>
    </row>
    <row r="361" spans="3:4">
      <c r="C361" s="132"/>
      <c r="D361" s="132"/>
    </row>
    <row r="362" spans="3:4">
      <c r="C362" s="132"/>
      <c r="D362" s="132"/>
    </row>
    <row r="363" spans="3:4">
      <c r="C363" s="132"/>
      <c r="D363" s="132"/>
    </row>
    <row r="364" spans="3:4">
      <c r="C364" s="132"/>
      <c r="D364" s="132"/>
    </row>
    <row r="365" spans="3:4">
      <c r="C365" s="132"/>
      <c r="D365" s="132"/>
    </row>
    <row r="366" spans="3:4">
      <c r="C366" s="132"/>
      <c r="D366" s="132"/>
    </row>
    <row r="367" spans="3:4">
      <c r="C367" s="132"/>
      <c r="D367" s="132"/>
    </row>
    <row r="368" spans="3:4">
      <c r="C368" s="132"/>
      <c r="D368" s="132"/>
    </row>
    <row r="369" spans="3:4">
      <c r="C369" s="132"/>
      <c r="D369" s="132"/>
    </row>
    <row r="370" spans="3:4">
      <c r="C370" s="132"/>
      <c r="D370" s="132"/>
    </row>
    <row r="371" spans="3:4">
      <c r="C371" s="132"/>
      <c r="D371" s="132"/>
    </row>
    <row r="372" spans="3:4">
      <c r="C372" s="132"/>
      <c r="D372" s="132"/>
    </row>
    <row r="373" spans="3:4">
      <c r="C373" s="132"/>
      <c r="D373" s="132"/>
    </row>
    <row r="374" spans="3:4">
      <c r="C374" s="132"/>
      <c r="D374" s="132"/>
    </row>
    <row r="375" spans="3:4">
      <c r="C375" s="132"/>
      <c r="D375" s="132"/>
    </row>
    <row r="376" spans="3:4">
      <c r="C376" s="132"/>
      <c r="D376" s="132"/>
    </row>
    <row r="377" spans="3:4">
      <c r="C377" s="132"/>
      <c r="D377" s="132"/>
    </row>
    <row r="378" spans="3:4">
      <c r="C378" s="132"/>
      <c r="D378" s="132"/>
    </row>
    <row r="379" spans="3:4">
      <c r="C379" s="132"/>
      <c r="D379" s="132"/>
    </row>
    <row r="380" spans="3:4">
      <c r="C380" s="132"/>
      <c r="D380" s="132"/>
    </row>
    <row r="381" spans="3:4">
      <c r="C381" s="132"/>
      <c r="D381" s="132"/>
    </row>
    <row r="382" spans="3:4">
      <c r="C382" s="132"/>
      <c r="D382" s="132"/>
    </row>
    <row r="383" spans="3:4">
      <c r="C383" s="132"/>
      <c r="D383" s="132"/>
    </row>
    <row r="384" spans="3:4">
      <c r="C384" s="132"/>
      <c r="D384" s="132"/>
    </row>
    <row r="385" spans="3:4">
      <c r="C385" s="132"/>
      <c r="D385" s="132"/>
    </row>
    <row r="386" spans="3:4">
      <c r="C386" s="132"/>
      <c r="D386" s="132"/>
    </row>
    <row r="387" spans="3:4">
      <c r="C387" s="132"/>
      <c r="D387" s="132"/>
    </row>
    <row r="388" spans="3:4">
      <c r="C388" s="132"/>
      <c r="D388" s="132"/>
    </row>
    <row r="389" spans="3:4">
      <c r="C389" s="132"/>
      <c r="D389" s="132"/>
    </row>
    <row r="390" spans="3:4">
      <c r="C390" s="132"/>
      <c r="D390" s="132"/>
    </row>
    <row r="391" spans="3:4">
      <c r="C391" s="132"/>
      <c r="D391" s="132"/>
    </row>
    <row r="392" spans="3:4">
      <c r="C392" s="132"/>
      <c r="D392" s="132"/>
    </row>
    <row r="393" spans="3:4">
      <c r="C393" s="132"/>
      <c r="D393" s="132"/>
    </row>
    <row r="394" spans="3:4">
      <c r="C394" s="132"/>
      <c r="D394" s="132"/>
    </row>
    <row r="395" spans="3:4">
      <c r="C395" s="132"/>
      <c r="D395" s="132"/>
    </row>
    <row r="396" spans="3:4">
      <c r="C396" s="132"/>
      <c r="D396" s="132"/>
    </row>
    <row r="397" spans="3:4">
      <c r="C397" s="132"/>
      <c r="D397" s="132"/>
    </row>
    <row r="398" spans="3:4">
      <c r="C398" s="132"/>
      <c r="D398" s="132"/>
    </row>
    <row r="399" spans="3:4">
      <c r="C399" s="132"/>
      <c r="D399" s="132"/>
    </row>
    <row r="400" spans="3:4">
      <c r="C400" s="132"/>
      <c r="D400" s="132"/>
    </row>
    <row r="401" spans="3:4">
      <c r="C401" s="132"/>
      <c r="D401" s="132"/>
    </row>
    <row r="402" spans="3:4">
      <c r="C402" s="132"/>
      <c r="D402" s="132"/>
    </row>
    <row r="403" spans="3:4">
      <c r="C403" s="132"/>
      <c r="D403" s="132"/>
    </row>
    <row r="404" spans="3:4">
      <c r="C404" s="132"/>
      <c r="D404" s="132"/>
    </row>
    <row r="405" spans="3:4">
      <c r="C405" s="132"/>
      <c r="D405" s="132"/>
    </row>
    <row r="406" spans="3:4">
      <c r="C406" s="132"/>
      <c r="D406" s="132"/>
    </row>
    <row r="407" spans="3:4">
      <c r="C407" s="132"/>
      <c r="D407" s="132"/>
    </row>
    <row r="408" spans="3:4">
      <c r="C408" s="132"/>
      <c r="D408" s="132"/>
    </row>
    <row r="409" spans="3:4">
      <c r="C409" s="132"/>
      <c r="D409" s="132"/>
    </row>
    <row r="410" spans="3:4">
      <c r="C410" s="132"/>
      <c r="D410" s="132"/>
    </row>
    <row r="411" spans="3:4">
      <c r="C411" s="132"/>
      <c r="D411" s="132"/>
    </row>
    <row r="412" spans="3:4">
      <c r="C412" s="132"/>
      <c r="D412" s="132"/>
    </row>
    <row r="413" spans="3:4">
      <c r="C413" s="132"/>
      <c r="D413" s="132"/>
    </row>
    <row r="414" spans="3:4">
      <c r="C414" s="132"/>
      <c r="D414" s="132"/>
    </row>
    <row r="415" spans="3:4">
      <c r="C415" s="132"/>
      <c r="D415" s="132"/>
    </row>
    <row r="416" spans="3:4">
      <c r="C416" s="132"/>
      <c r="D416" s="132"/>
    </row>
    <row r="417" spans="3:4">
      <c r="C417" s="132"/>
      <c r="D417" s="132"/>
    </row>
    <row r="418" spans="3:4">
      <c r="C418" s="132"/>
      <c r="D418" s="132"/>
    </row>
    <row r="419" spans="3:4">
      <c r="C419" s="132"/>
      <c r="D419" s="132"/>
    </row>
    <row r="420" spans="3:4">
      <c r="C420" s="132"/>
      <c r="D420" s="132"/>
    </row>
    <row r="421" spans="3:4">
      <c r="C421" s="132"/>
      <c r="D421" s="132"/>
    </row>
    <row r="422" spans="3:4">
      <c r="C422" s="132"/>
      <c r="D422" s="132"/>
    </row>
    <row r="423" spans="3:4">
      <c r="C423" s="132"/>
      <c r="D423" s="132"/>
    </row>
    <row r="424" spans="3:4">
      <c r="C424" s="132"/>
      <c r="D424" s="132"/>
    </row>
    <row r="425" spans="3:4">
      <c r="C425" s="132"/>
      <c r="D425" s="132"/>
    </row>
    <row r="426" spans="3:4">
      <c r="C426" s="132"/>
      <c r="D426" s="132"/>
    </row>
    <row r="427" spans="3:4">
      <c r="C427" s="132"/>
      <c r="D427" s="132"/>
    </row>
    <row r="428" spans="3:4">
      <c r="C428" s="132"/>
      <c r="D428" s="132"/>
    </row>
    <row r="429" spans="3:4">
      <c r="C429" s="132"/>
      <c r="D429" s="132"/>
    </row>
    <row r="430" spans="3:4">
      <c r="C430" s="132"/>
      <c r="D430" s="132"/>
    </row>
    <row r="431" spans="3:4">
      <c r="C431" s="132"/>
      <c r="D431" s="132"/>
    </row>
    <row r="432" spans="3:4">
      <c r="C432" s="132"/>
      <c r="D432" s="132"/>
    </row>
    <row r="433" spans="3:4">
      <c r="C433" s="132"/>
      <c r="D433" s="132"/>
    </row>
    <row r="434" spans="3:4">
      <c r="C434" s="132"/>
      <c r="D434" s="132"/>
    </row>
    <row r="435" spans="3:4">
      <c r="C435" s="132"/>
      <c r="D435" s="132"/>
    </row>
    <row r="436" spans="3:4">
      <c r="C436" s="132"/>
      <c r="D436" s="132"/>
    </row>
    <row r="437" spans="3:4">
      <c r="C437" s="132"/>
      <c r="D437" s="132"/>
    </row>
    <row r="438" spans="3:4">
      <c r="C438" s="132"/>
      <c r="D438" s="132"/>
    </row>
    <row r="439" spans="3:4">
      <c r="C439" s="132"/>
      <c r="D439" s="132"/>
    </row>
    <row r="440" spans="3:4">
      <c r="C440" s="132"/>
      <c r="D440" s="132"/>
    </row>
    <row r="441" spans="3:4">
      <c r="C441" s="132"/>
      <c r="D441" s="132"/>
    </row>
    <row r="442" spans="3:4">
      <c r="C442" s="132"/>
      <c r="D442" s="132"/>
    </row>
    <row r="443" spans="3:4">
      <c r="C443" s="132"/>
      <c r="D443" s="132"/>
    </row>
    <row r="444" spans="3:4">
      <c r="C444" s="132"/>
      <c r="D444" s="132"/>
    </row>
    <row r="445" spans="3:4">
      <c r="C445" s="132"/>
      <c r="D445" s="132"/>
    </row>
    <row r="446" spans="3:4">
      <c r="C446" s="132"/>
      <c r="D446" s="132"/>
    </row>
    <row r="447" spans="3:4">
      <c r="C447" s="132"/>
      <c r="D447" s="132"/>
    </row>
    <row r="448" spans="3:4">
      <c r="C448" s="132"/>
      <c r="D448" s="132"/>
    </row>
    <row r="449" spans="3:4">
      <c r="C449" s="132"/>
      <c r="D449" s="132"/>
    </row>
    <row r="450" spans="3:4">
      <c r="C450" s="132"/>
      <c r="D450" s="132"/>
    </row>
    <row r="451" spans="3:4">
      <c r="C451" s="132"/>
      <c r="D451" s="132"/>
    </row>
    <row r="452" spans="3:4">
      <c r="C452" s="132"/>
      <c r="D452" s="132"/>
    </row>
    <row r="453" spans="3:4">
      <c r="C453" s="132"/>
      <c r="D453" s="132"/>
    </row>
    <row r="454" spans="3:4">
      <c r="C454" s="132"/>
      <c r="D454" s="132"/>
    </row>
    <row r="455" spans="3:4">
      <c r="C455" s="132"/>
      <c r="D455" s="132"/>
    </row>
    <row r="456" spans="3:4">
      <c r="C456" s="132"/>
      <c r="D456" s="132"/>
    </row>
    <row r="457" spans="3:4">
      <c r="C457" s="132"/>
      <c r="D457" s="132"/>
    </row>
    <row r="458" spans="3:4">
      <c r="C458" s="132"/>
      <c r="D458" s="132"/>
    </row>
    <row r="459" spans="3:4">
      <c r="C459" s="132"/>
      <c r="D459" s="132"/>
    </row>
    <row r="460" spans="3:4">
      <c r="C460" s="132"/>
      <c r="D460" s="132"/>
    </row>
    <row r="461" spans="3:4">
      <c r="C461" s="132"/>
      <c r="D461" s="132"/>
    </row>
    <row r="462" spans="3:4">
      <c r="C462" s="132"/>
      <c r="D462" s="132"/>
    </row>
    <row r="463" spans="3:4">
      <c r="C463" s="132"/>
      <c r="D463" s="132"/>
    </row>
    <row r="464" spans="3:4">
      <c r="C464" s="132"/>
      <c r="D464" s="132"/>
    </row>
    <row r="465" spans="3:4">
      <c r="C465" s="132"/>
      <c r="D465" s="132"/>
    </row>
    <row r="466" spans="3:4">
      <c r="C466" s="132"/>
      <c r="D466" s="132"/>
    </row>
    <row r="467" spans="3:4">
      <c r="C467" s="132"/>
      <c r="D467" s="132"/>
    </row>
    <row r="468" spans="3:4">
      <c r="C468" s="132"/>
      <c r="D468" s="132"/>
    </row>
    <row r="469" spans="3:4">
      <c r="C469" s="132"/>
      <c r="D469" s="132"/>
    </row>
    <row r="470" spans="3:4">
      <c r="C470" s="132"/>
      <c r="D470" s="132"/>
    </row>
    <row r="471" spans="3:4">
      <c r="C471" s="132"/>
      <c r="D471" s="132"/>
    </row>
    <row r="472" spans="3:4">
      <c r="C472" s="132"/>
      <c r="D472" s="132"/>
    </row>
    <row r="473" spans="3:4">
      <c r="C473" s="132"/>
      <c r="D473" s="132"/>
    </row>
    <row r="474" spans="3:4">
      <c r="C474" s="132"/>
      <c r="D474" s="132"/>
    </row>
    <row r="475" spans="3:4">
      <c r="C475" s="132"/>
      <c r="D475" s="132"/>
    </row>
    <row r="476" spans="3:4">
      <c r="C476" s="132"/>
      <c r="D476" s="132"/>
    </row>
    <row r="477" spans="3:4">
      <c r="C477" s="132"/>
      <c r="D477" s="132"/>
    </row>
    <row r="478" spans="3:4">
      <c r="C478" s="132"/>
      <c r="D478" s="132"/>
    </row>
    <row r="479" spans="3:4">
      <c r="C479" s="132"/>
      <c r="D479" s="132"/>
    </row>
    <row r="480" spans="3:4">
      <c r="C480" s="132"/>
      <c r="D480" s="132"/>
    </row>
    <row r="481" spans="3:4">
      <c r="C481" s="132"/>
      <c r="D481" s="132"/>
    </row>
    <row r="482" spans="3:4">
      <c r="C482" s="132"/>
      <c r="D482" s="132"/>
    </row>
    <row r="483" spans="3:4">
      <c r="C483" s="132"/>
      <c r="D483" s="132"/>
    </row>
    <row r="484" spans="3:4">
      <c r="C484" s="132"/>
      <c r="D484" s="132"/>
    </row>
    <row r="485" spans="3:4">
      <c r="C485" s="132"/>
      <c r="D485" s="132"/>
    </row>
    <row r="486" spans="3:4">
      <c r="C486" s="132"/>
      <c r="D486" s="132"/>
    </row>
    <row r="487" spans="3:4">
      <c r="C487" s="132"/>
      <c r="D487" s="132"/>
    </row>
    <row r="488" spans="3:4">
      <c r="C488" s="132"/>
      <c r="D488" s="132"/>
    </row>
    <row r="489" spans="3:4">
      <c r="C489" s="132"/>
      <c r="D489" s="132"/>
    </row>
    <row r="490" spans="3:4">
      <c r="C490" s="132"/>
      <c r="D490" s="132"/>
    </row>
    <row r="491" spans="3:4">
      <c r="C491" s="132"/>
      <c r="D491" s="132"/>
    </row>
    <row r="492" spans="3:4">
      <c r="C492" s="132"/>
      <c r="D492" s="132"/>
    </row>
    <row r="493" spans="3:4">
      <c r="C493" s="132"/>
      <c r="D493" s="132"/>
    </row>
    <row r="494" spans="3:4">
      <c r="C494" s="132"/>
      <c r="D494" s="132"/>
    </row>
    <row r="495" spans="3:4">
      <c r="C495" s="132"/>
      <c r="D495" s="132"/>
    </row>
    <row r="496" spans="3:4">
      <c r="C496" s="132"/>
      <c r="D496" s="132"/>
    </row>
    <row r="497" spans="3:4">
      <c r="C497" s="132"/>
      <c r="D497" s="132"/>
    </row>
    <row r="498" spans="3:4">
      <c r="C498" s="132"/>
      <c r="D498" s="132"/>
    </row>
    <row r="499" spans="3:4">
      <c r="C499" s="132"/>
      <c r="D499" s="132"/>
    </row>
    <row r="500" spans="3:4">
      <c r="C500" s="132"/>
      <c r="D500" s="132"/>
    </row>
    <row r="501" spans="3:4">
      <c r="C501" s="132"/>
      <c r="D501" s="132"/>
    </row>
    <row r="502" spans="3:4">
      <c r="C502" s="132"/>
      <c r="D502" s="132"/>
    </row>
    <row r="503" spans="3:4">
      <c r="C503" s="132"/>
      <c r="D503" s="132"/>
    </row>
    <row r="504" spans="3:4">
      <c r="C504" s="132"/>
      <c r="D504" s="132"/>
    </row>
    <row r="505" spans="3:4">
      <c r="C505" s="132"/>
      <c r="D505" s="132"/>
    </row>
    <row r="506" spans="3:4">
      <c r="C506" s="132"/>
      <c r="D506" s="132"/>
    </row>
    <row r="507" spans="3:4">
      <c r="C507" s="132"/>
      <c r="D507" s="132"/>
    </row>
    <row r="508" spans="3:4">
      <c r="C508" s="132"/>
      <c r="D508" s="132"/>
    </row>
    <row r="509" spans="3:4">
      <c r="C509" s="132"/>
      <c r="D509" s="132"/>
    </row>
    <row r="510" spans="3:4">
      <c r="C510" s="132"/>
      <c r="D510" s="132"/>
    </row>
    <row r="511" spans="3:4">
      <c r="C511" s="132"/>
      <c r="D511" s="132"/>
    </row>
    <row r="512" spans="3:4">
      <c r="C512" s="132"/>
      <c r="D512" s="132"/>
    </row>
    <row r="513" spans="3:4">
      <c r="C513" s="132"/>
      <c r="D513" s="132"/>
    </row>
    <row r="514" spans="3:4">
      <c r="C514" s="132"/>
      <c r="D514" s="132"/>
    </row>
    <row r="515" spans="3:4">
      <c r="C515" s="132"/>
      <c r="D515" s="132"/>
    </row>
    <row r="516" spans="3:4">
      <c r="C516" s="132"/>
      <c r="D516" s="132"/>
    </row>
    <row r="517" spans="3:4">
      <c r="C517" s="132"/>
      <c r="D517" s="132"/>
    </row>
    <row r="518" spans="3:4">
      <c r="C518" s="132"/>
      <c r="D518" s="132"/>
    </row>
    <row r="519" spans="3:4">
      <c r="C519" s="132"/>
      <c r="D519" s="132"/>
    </row>
    <row r="520" spans="3:4">
      <c r="C520" s="132"/>
      <c r="D520" s="132"/>
    </row>
    <row r="521" spans="3:4">
      <c r="C521" s="132"/>
      <c r="D521" s="132"/>
    </row>
    <row r="522" spans="3:4">
      <c r="C522" s="132"/>
      <c r="D522" s="132"/>
    </row>
    <row r="523" spans="3:4">
      <c r="C523" s="132"/>
      <c r="D523" s="132"/>
    </row>
    <row r="524" spans="3:4">
      <c r="C524" s="132"/>
      <c r="D524" s="132"/>
    </row>
    <row r="525" spans="3:4">
      <c r="C525" s="132"/>
      <c r="D525" s="132"/>
    </row>
    <row r="526" spans="3:4">
      <c r="C526" s="132"/>
      <c r="D526" s="132"/>
    </row>
    <row r="527" spans="3:4">
      <c r="C527" s="132"/>
      <c r="D527" s="132"/>
    </row>
    <row r="528" spans="3:4">
      <c r="C528" s="132"/>
      <c r="D528" s="132"/>
    </row>
    <row r="529" spans="3:4">
      <c r="C529" s="132"/>
      <c r="D529" s="132"/>
    </row>
    <row r="530" spans="3:4">
      <c r="C530" s="132"/>
      <c r="D530" s="132"/>
    </row>
    <row r="531" spans="3:4">
      <c r="C531" s="132"/>
      <c r="D531" s="132"/>
    </row>
    <row r="532" spans="3:4">
      <c r="C532" s="132"/>
      <c r="D532" s="132"/>
    </row>
    <row r="533" spans="3:4">
      <c r="C533" s="132"/>
      <c r="D533" s="132"/>
    </row>
    <row r="534" spans="3:4">
      <c r="C534" s="132"/>
      <c r="D534" s="132"/>
    </row>
    <row r="535" spans="3:4">
      <c r="C535" s="132"/>
      <c r="D535" s="132"/>
    </row>
    <row r="536" spans="3:4">
      <c r="C536" s="132"/>
      <c r="D536" s="132"/>
    </row>
    <row r="537" spans="3:4">
      <c r="C537" s="132"/>
      <c r="D537" s="132"/>
    </row>
    <row r="538" spans="3:4">
      <c r="C538" s="132"/>
      <c r="D538" s="132"/>
    </row>
    <row r="539" spans="3:4">
      <c r="C539" s="132"/>
      <c r="D539" s="132"/>
    </row>
    <row r="540" spans="3:4">
      <c r="C540" s="132"/>
      <c r="D540" s="132"/>
    </row>
    <row r="541" spans="3:4">
      <c r="C541" s="132"/>
      <c r="D541" s="132"/>
    </row>
    <row r="542" spans="3:4">
      <c r="C542" s="132"/>
      <c r="D542" s="132"/>
    </row>
    <row r="543" spans="3:4">
      <c r="C543" s="132"/>
      <c r="D543" s="132"/>
    </row>
    <row r="544" spans="3:4">
      <c r="C544" s="132"/>
      <c r="D544" s="132"/>
    </row>
    <row r="545" spans="3:4">
      <c r="C545" s="132"/>
      <c r="D545" s="132"/>
    </row>
    <row r="546" spans="3:4">
      <c r="C546" s="132"/>
      <c r="D546" s="132"/>
    </row>
    <row r="547" spans="3:4">
      <c r="C547" s="132"/>
      <c r="D547" s="132"/>
    </row>
    <row r="548" spans="3:4">
      <c r="C548" s="132"/>
      <c r="D548" s="132"/>
    </row>
    <row r="549" spans="3:4">
      <c r="C549" s="132"/>
      <c r="D549" s="132"/>
    </row>
    <row r="550" spans="3:4">
      <c r="C550" s="132"/>
      <c r="D550" s="132"/>
    </row>
    <row r="551" spans="3:4">
      <c r="C551" s="132"/>
      <c r="D551" s="132"/>
    </row>
    <row r="552" spans="3:4">
      <c r="C552" s="132"/>
      <c r="D552" s="132"/>
    </row>
    <row r="553" spans="3:4">
      <c r="C553" s="132"/>
      <c r="D553" s="132"/>
    </row>
    <row r="554" spans="3:4">
      <c r="C554" s="132"/>
      <c r="D554" s="132"/>
    </row>
    <row r="555" spans="3:4">
      <c r="C555" s="132"/>
      <c r="D555" s="132"/>
    </row>
    <row r="556" spans="3:4">
      <c r="C556" s="132"/>
      <c r="D556" s="132"/>
    </row>
    <row r="557" spans="3:4">
      <c r="C557" s="132"/>
      <c r="D557" s="132"/>
    </row>
    <row r="558" spans="3:4">
      <c r="C558" s="132"/>
      <c r="D558" s="132"/>
    </row>
    <row r="559" spans="3:4">
      <c r="C559" s="132"/>
      <c r="D559" s="132"/>
    </row>
    <row r="560" spans="3:4">
      <c r="C560" s="132"/>
      <c r="D560" s="132"/>
    </row>
    <row r="561" spans="3:4">
      <c r="C561" s="132"/>
      <c r="D561" s="132"/>
    </row>
    <row r="562" spans="3:4">
      <c r="C562" s="132"/>
      <c r="D562" s="132"/>
    </row>
    <row r="563" spans="3:4">
      <c r="C563" s="132"/>
      <c r="D563" s="132"/>
    </row>
    <row r="564" spans="3:4">
      <c r="C564" s="132"/>
      <c r="D564" s="132"/>
    </row>
    <row r="565" spans="3:4">
      <c r="C565" s="132"/>
      <c r="D565" s="132"/>
    </row>
    <row r="566" spans="3:4">
      <c r="C566" s="132"/>
      <c r="D566" s="132"/>
    </row>
    <row r="567" spans="3:4">
      <c r="C567" s="132"/>
      <c r="D567" s="132"/>
    </row>
    <row r="568" spans="3:4">
      <c r="C568" s="132"/>
      <c r="D568" s="132"/>
    </row>
    <row r="569" spans="3:4">
      <c r="C569" s="132"/>
      <c r="D569" s="132"/>
    </row>
    <row r="570" spans="3:4">
      <c r="C570" s="132"/>
      <c r="D570" s="132"/>
    </row>
    <row r="571" spans="3:4">
      <c r="C571" s="132"/>
      <c r="D571" s="132"/>
    </row>
    <row r="572" spans="3:4">
      <c r="C572" s="132"/>
      <c r="D572" s="132"/>
    </row>
    <row r="573" spans="3:4">
      <c r="C573" s="132"/>
      <c r="D573" s="132"/>
    </row>
    <row r="574" spans="3:4">
      <c r="C574" s="132"/>
      <c r="D574" s="132"/>
    </row>
    <row r="575" spans="3:4">
      <c r="C575" s="132"/>
      <c r="D575" s="132"/>
    </row>
    <row r="576" spans="3:4">
      <c r="C576" s="132"/>
      <c r="D576" s="132"/>
    </row>
    <row r="577" spans="3:4">
      <c r="C577" s="132"/>
      <c r="D577" s="132"/>
    </row>
    <row r="578" spans="3:4">
      <c r="C578" s="132"/>
      <c r="D578" s="132"/>
    </row>
    <row r="579" spans="3:4">
      <c r="C579" s="132"/>
      <c r="D579" s="132"/>
    </row>
    <row r="580" spans="3:4">
      <c r="C580" s="132"/>
      <c r="D580" s="132"/>
    </row>
    <row r="581" spans="3:4">
      <c r="C581" s="132"/>
      <c r="D581" s="132"/>
    </row>
    <row r="582" spans="3:4">
      <c r="C582" s="132"/>
      <c r="D582" s="132"/>
    </row>
    <row r="583" spans="3:4">
      <c r="C583" s="132"/>
      <c r="D583" s="132"/>
    </row>
    <row r="584" spans="3:4">
      <c r="C584" s="132"/>
      <c r="D584" s="132"/>
    </row>
    <row r="585" spans="3:4">
      <c r="C585" s="132"/>
      <c r="D585" s="132"/>
    </row>
    <row r="586" spans="3:4">
      <c r="C586" s="132"/>
      <c r="D586" s="132"/>
    </row>
    <row r="587" spans="3:4">
      <c r="C587" s="132"/>
      <c r="D587" s="132"/>
    </row>
    <row r="588" spans="3:4">
      <c r="C588" s="132"/>
      <c r="D588" s="132"/>
    </row>
    <row r="589" spans="3:4">
      <c r="C589" s="132"/>
      <c r="D589" s="132"/>
    </row>
    <row r="590" spans="3:4">
      <c r="C590" s="132"/>
      <c r="D590" s="132"/>
    </row>
    <row r="591" spans="3:4">
      <c r="C591" s="132"/>
      <c r="D591" s="132"/>
    </row>
    <row r="592" spans="3:4">
      <c r="C592" s="132"/>
      <c r="D592" s="132"/>
    </row>
    <row r="593" spans="3:4">
      <c r="C593" s="132"/>
      <c r="D593" s="132"/>
    </row>
    <row r="594" spans="3:4">
      <c r="C594" s="132"/>
      <c r="D594" s="132"/>
    </row>
    <row r="595" spans="3:4">
      <c r="C595" s="132"/>
      <c r="D595" s="132"/>
    </row>
    <row r="596" spans="3:4">
      <c r="C596" s="132"/>
      <c r="D596" s="132"/>
    </row>
    <row r="597" spans="3:4">
      <c r="C597" s="132"/>
      <c r="D597" s="132"/>
    </row>
    <row r="598" spans="3:4">
      <c r="C598" s="132"/>
      <c r="D598" s="132"/>
    </row>
    <row r="599" spans="3:4">
      <c r="C599" s="132"/>
      <c r="D599" s="132"/>
    </row>
    <row r="600" spans="3:4">
      <c r="C600" s="132"/>
      <c r="D600" s="132"/>
    </row>
    <row r="601" spans="3:4">
      <c r="C601" s="132"/>
      <c r="D601" s="132"/>
    </row>
    <row r="602" spans="3:4">
      <c r="C602" s="132"/>
      <c r="D602" s="132"/>
    </row>
    <row r="603" spans="3:4">
      <c r="C603" s="132"/>
      <c r="D603" s="132"/>
    </row>
    <row r="604" spans="3:4">
      <c r="C604" s="132"/>
      <c r="D604" s="132"/>
    </row>
    <row r="605" spans="3:4">
      <c r="C605" s="132"/>
      <c r="D605" s="132"/>
    </row>
    <row r="606" spans="3:4">
      <c r="C606" s="132"/>
      <c r="D606" s="132"/>
    </row>
    <row r="607" spans="3:4">
      <c r="C607" s="132"/>
      <c r="D607" s="132"/>
    </row>
    <row r="608" spans="3:4">
      <c r="C608" s="132"/>
      <c r="D608" s="132"/>
    </row>
    <row r="609" spans="3:4">
      <c r="C609" s="132"/>
      <c r="D609" s="132"/>
    </row>
    <row r="610" spans="3:4">
      <c r="C610" s="132"/>
      <c r="D610" s="132"/>
    </row>
    <row r="611" spans="3:4">
      <c r="C611" s="132"/>
      <c r="D611" s="132"/>
    </row>
    <row r="612" spans="3:4">
      <c r="C612" s="132"/>
      <c r="D612" s="132"/>
    </row>
    <row r="613" spans="3:4">
      <c r="C613" s="132"/>
      <c r="D613" s="132"/>
    </row>
    <row r="614" spans="3:4">
      <c r="C614" s="132"/>
      <c r="D614" s="132"/>
    </row>
    <row r="615" spans="3:4">
      <c r="C615" s="132"/>
      <c r="D615" s="132"/>
    </row>
    <row r="616" spans="3:4">
      <c r="C616" s="132"/>
      <c r="D616" s="132"/>
    </row>
    <row r="617" spans="3:4">
      <c r="C617" s="132"/>
      <c r="D617" s="132"/>
    </row>
    <row r="618" spans="3:4">
      <c r="C618" s="132"/>
      <c r="D618" s="132"/>
    </row>
    <row r="619" spans="3:4">
      <c r="C619" s="132"/>
      <c r="D619" s="132"/>
    </row>
    <row r="620" spans="3:4">
      <c r="C620" s="132"/>
      <c r="D620" s="132"/>
    </row>
    <row r="621" spans="3:4">
      <c r="C621" s="132"/>
      <c r="D621" s="132"/>
    </row>
    <row r="622" spans="3:4">
      <c r="C622" s="132"/>
      <c r="D622" s="132"/>
    </row>
    <row r="623" spans="3:4">
      <c r="C623" s="132"/>
      <c r="D623" s="132"/>
    </row>
    <row r="624" spans="3:4">
      <c r="C624" s="132"/>
      <c r="D624" s="132"/>
    </row>
    <row r="625" spans="3:4">
      <c r="C625" s="132"/>
      <c r="D625" s="132"/>
    </row>
    <row r="626" spans="3:4">
      <c r="C626" s="132"/>
      <c r="D626" s="132"/>
    </row>
    <row r="627" spans="3:4">
      <c r="C627" s="132"/>
      <c r="D627" s="132"/>
    </row>
    <row r="628" spans="3:4">
      <c r="C628" s="132"/>
      <c r="D628" s="132"/>
    </row>
    <row r="629" spans="3:4">
      <c r="C629" s="132"/>
      <c r="D629" s="132"/>
    </row>
    <row r="630" spans="3:4">
      <c r="C630" s="132"/>
      <c r="D630" s="132"/>
    </row>
    <row r="631" spans="3:4">
      <c r="C631" s="132"/>
      <c r="D631" s="132"/>
    </row>
    <row r="632" spans="3:4">
      <c r="C632" s="132"/>
      <c r="D632" s="132"/>
    </row>
    <row r="633" spans="3:4">
      <c r="C633" s="132"/>
      <c r="D633" s="132"/>
    </row>
    <row r="634" spans="3:4">
      <c r="C634" s="132"/>
      <c r="D634" s="132"/>
    </row>
    <row r="635" spans="3:4">
      <c r="C635" s="132"/>
      <c r="D635" s="132"/>
    </row>
    <row r="636" spans="3:4">
      <c r="C636" s="132"/>
      <c r="D636" s="132"/>
    </row>
    <row r="637" spans="3:4">
      <c r="C637" s="132"/>
      <c r="D637" s="132"/>
    </row>
    <row r="638" spans="3:4">
      <c r="C638" s="132"/>
      <c r="D638" s="132"/>
    </row>
    <row r="639" spans="3:4">
      <c r="C639" s="132"/>
      <c r="D639" s="132"/>
    </row>
    <row r="640" spans="3:4">
      <c r="C640" s="132"/>
      <c r="D640" s="132"/>
    </row>
    <row r="641" spans="3:4">
      <c r="C641" s="132"/>
      <c r="D641" s="132"/>
    </row>
    <row r="642" spans="3:4">
      <c r="C642" s="132"/>
      <c r="D642" s="132"/>
    </row>
    <row r="643" spans="3:4">
      <c r="C643" s="132"/>
      <c r="D643" s="132"/>
    </row>
    <row r="644" spans="3:4">
      <c r="C644" s="132"/>
      <c r="D644" s="132"/>
    </row>
    <row r="645" spans="3:4">
      <c r="C645" s="132"/>
      <c r="D645" s="132"/>
    </row>
    <row r="646" spans="3:4">
      <c r="C646" s="132"/>
      <c r="D646" s="132"/>
    </row>
    <row r="647" spans="3:4">
      <c r="C647" s="132"/>
      <c r="D647" s="132"/>
    </row>
    <row r="648" spans="3:4">
      <c r="C648" s="132"/>
      <c r="D648" s="132"/>
    </row>
    <row r="649" spans="3:4">
      <c r="C649" s="132"/>
      <c r="D649" s="132"/>
    </row>
    <row r="650" spans="3:4">
      <c r="C650" s="132"/>
      <c r="D650" s="132"/>
    </row>
    <row r="651" spans="3:4">
      <c r="C651" s="132"/>
      <c r="D651" s="132"/>
    </row>
    <row r="652" spans="3:4">
      <c r="C652" s="132"/>
      <c r="D652" s="132"/>
    </row>
    <row r="653" spans="3:4">
      <c r="C653" s="132"/>
      <c r="D653" s="132"/>
    </row>
    <row r="654" spans="3:4">
      <c r="C654" s="132"/>
      <c r="D654" s="132"/>
    </row>
    <row r="655" spans="3:4">
      <c r="C655" s="132"/>
      <c r="D655" s="132"/>
    </row>
    <row r="656" spans="3:4">
      <c r="C656" s="132"/>
      <c r="D656" s="132"/>
    </row>
    <row r="657" spans="3:4">
      <c r="C657" s="132"/>
      <c r="D657" s="132"/>
    </row>
    <row r="658" spans="3:4">
      <c r="C658" s="132"/>
      <c r="D658" s="132"/>
    </row>
    <row r="659" spans="3:4">
      <c r="C659" s="132"/>
      <c r="D659" s="132"/>
    </row>
    <row r="660" spans="3:4">
      <c r="C660" s="132"/>
      <c r="D660" s="132"/>
    </row>
    <row r="661" spans="3:4">
      <c r="C661" s="132"/>
      <c r="D661" s="132"/>
    </row>
    <row r="662" spans="3:4">
      <c r="C662" s="132"/>
      <c r="D662" s="132"/>
    </row>
    <row r="663" spans="3:4">
      <c r="C663" s="132"/>
      <c r="D663" s="132"/>
    </row>
    <row r="664" spans="3:4">
      <c r="C664" s="132"/>
      <c r="D664" s="132"/>
    </row>
    <row r="665" spans="3:4">
      <c r="C665" s="132"/>
      <c r="D665" s="132"/>
    </row>
    <row r="666" spans="3:4">
      <c r="C666" s="132"/>
      <c r="D666" s="132"/>
    </row>
    <row r="667" spans="3:4">
      <c r="C667" s="132"/>
      <c r="D667" s="132"/>
    </row>
    <row r="668" spans="3:4">
      <c r="C668" s="132"/>
      <c r="D668" s="132"/>
    </row>
    <row r="669" spans="3:4">
      <c r="C669" s="132"/>
      <c r="D669" s="132"/>
    </row>
    <row r="670" spans="3:4">
      <c r="C670" s="132"/>
      <c r="D670" s="132"/>
    </row>
    <row r="671" spans="3:4">
      <c r="C671" s="132"/>
      <c r="D671" s="132"/>
    </row>
    <row r="672" spans="3:4">
      <c r="C672" s="132"/>
      <c r="D672" s="132"/>
    </row>
    <row r="673" spans="3:4">
      <c r="C673" s="132"/>
      <c r="D673" s="132"/>
    </row>
    <row r="674" spans="3:4">
      <c r="C674" s="132"/>
      <c r="D674" s="132"/>
    </row>
    <row r="675" spans="3:4">
      <c r="C675" s="132"/>
      <c r="D675" s="132"/>
    </row>
    <row r="676" spans="3:4">
      <c r="C676" s="132"/>
      <c r="D676" s="132"/>
    </row>
    <row r="677" spans="3:4">
      <c r="C677" s="132"/>
      <c r="D677" s="132"/>
    </row>
    <row r="678" spans="3:4">
      <c r="C678" s="132"/>
      <c r="D678" s="132"/>
    </row>
    <row r="679" spans="3:4">
      <c r="C679" s="132"/>
      <c r="D679" s="132"/>
    </row>
    <row r="680" spans="3:4">
      <c r="C680" s="132"/>
      <c r="D680" s="132"/>
    </row>
    <row r="681" spans="3:4">
      <c r="C681" s="132"/>
      <c r="D681" s="132"/>
    </row>
    <row r="682" spans="3:4">
      <c r="C682" s="132"/>
      <c r="D682" s="132"/>
    </row>
    <row r="683" spans="3:4">
      <c r="C683" s="132"/>
      <c r="D683" s="132"/>
    </row>
    <row r="684" spans="3:4">
      <c r="C684" s="132"/>
      <c r="D684" s="132"/>
    </row>
    <row r="685" spans="3:4">
      <c r="C685" s="132"/>
      <c r="D685" s="132"/>
    </row>
    <row r="686" spans="3:4">
      <c r="C686" s="132"/>
      <c r="D686" s="132"/>
    </row>
    <row r="687" spans="3:4">
      <c r="C687" s="132"/>
      <c r="D687" s="132"/>
    </row>
    <row r="688" spans="3:4">
      <c r="C688" s="132"/>
      <c r="D688" s="132"/>
    </row>
    <row r="689" spans="3:4">
      <c r="C689" s="132"/>
      <c r="D689" s="132"/>
    </row>
    <row r="690" spans="3:4">
      <c r="C690" s="132"/>
      <c r="D690" s="132"/>
    </row>
    <row r="691" spans="3:4">
      <c r="C691" s="132"/>
      <c r="D691" s="132"/>
    </row>
    <row r="692" spans="3:4">
      <c r="C692" s="132"/>
      <c r="D692" s="132"/>
    </row>
    <row r="693" spans="3:4">
      <c r="C693" s="132"/>
      <c r="D693" s="132"/>
    </row>
    <row r="694" spans="3:4">
      <c r="C694" s="132"/>
      <c r="D694" s="132"/>
    </row>
    <row r="695" spans="3:4">
      <c r="C695" s="132"/>
      <c r="D695" s="132"/>
    </row>
    <row r="696" spans="3:4">
      <c r="C696" s="132"/>
      <c r="D696" s="132"/>
    </row>
    <row r="697" spans="3:4">
      <c r="C697" s="132"/>
      <c r="D697" s="132"/>
    </row>
    <row r="698" spans="3:4">
      <c r="C698" s="132"/>
      <c r="D698" s="132"/>
    </row>
    <row r="699" spans="3:4">
      <c r="C699" s="132"/>
      <c r="D699" s="132"/>
    </row>
    <row r="700" spans="3:4">
      <c r="C700" s="132"/>
      <c r="D700" s="132"/>
    </row>
    <row r="701" spans="3:4">
      <c r="C701" s="132"/>
      <c r="D701" s="132"/>
    </row>
    <row r="702" spans="3:4">
      <c r="C702" s="132"/>
      <c r="D702" s="132"/>
    </row>
    <row r="703" spans="3:4">
      <c r="C703" s="132"/>
      <c r="D703" s="132"/>
    </row>
    <row r="704" spans="3:4">
      <c r="C704" s="132"/>
      <c r="D704" s="132"/>
    </row>
    <row r="705" spans="3:4">
      <c r="C705" s="132"/>
      <c r="D705" s="132"/>
    </row>
    <row r="706" spans="3:4">
      <c r="C706" s="132"/>
      <c r="D706" s="132"/>
    </row>
    <row r="707" spans="3:4">
      <c r="C707" s="132"/>
      <c r="D707" s="132"/>
    </row>
    <row r="708" spans="3:4">
      <c r="C708" s="132"/>
      <c r="D708" s="132"/>
    </row>
    <row r="709" spans="3:4">
      <c r="C709" s="132"/>
      <c r="D709" s="132"/>
    </row>
    <row r="710" spans="3:4">
      <c r="C710" s="132"/>
      <c r="D710" s="132"/>
    </row>
    <row r="711" spans="3:4">
      <c r="C711" s="132"/>
      <c r="D711" s="132"/>
    </row>
    <row r="712" spans="3:4">
      <c r="C712" s="132"/>
      <c r="D712" s="132"/>
    </row>
    <row r="713" spans="3:4">
      <c r="C713" s="132"/>
      <c r="D713" s="132"/>
    </row>
    <row r="714" spans="3:4">
      <c r="C714" s="132"/>
      <c r="D714" s="132"/>
    </row>
    <row r="715" spans="3:4">
      <c r="C715" s="132"/>
      <c r="D715" s="132"/>
    </row>
    <row r="716" spans="3:4">
      <c r="C716" s="132"/>
      <c r="D716" s="132"/>
    </row>
    <row r="717" spans="3:4">
      <c r="C717" s="132"/>
      <c r="D717" s="132"/>
    </row>
    <row r="718" spans="3:4">
      <c r="C718" s="132"/>
      <c r="D718" s="132"/>
    </row>
    <row r="719" spans="3:4">
      <c r="C719" s="132"/>
      <c r="D719" s="132"/>
    </row>
    <row r="720" spans="3:4">
      <c r="C720" s="132"/>
      <c r="D720" s="132"/>
    </row>
    <row r="721" spans="3:4">
      <c r="C721" s="132"/>
      <c r="D721" s="132"/>
    </row>
    <row r="722" spans="3:4">
      <c r="C722" s="132"/>
      <c r="D722" s="132"/>
    </row>
    <row r="723" spans="3:4">
      <c r="C723" s="132"/>
      <c r="D723" s="132"/>
    </row>
    <row r="724" spans="3:4">
      <c r="C724" s="132"/>
      <c r="D724" s="132"/>
    </row>
    <row r="725" spans="3:4">
      <c r="C725" s="132"/>
      <c r="D725" s="132"/>
    </row>
    <row r="726" spans="3:4">
      <c r="C726" s="132"/>
      <c r="D726" s="132"/>
    </row>
    <row r="727" spans="3:4">
      <c r="C727" s="132"/>
      <c r="D727" s="132"/>
    </row>
    <row r="728" spans="3:4">
      <c r="C728" s="132"/>
      <c r="D728" s="132"/>
    </row>
    <row r="729" spans="3:4">
      <c r="C729" s="132"/>
      <c r="D729" s="132"/>
    </row>
    <row r="730" spans="3:4">
      <c r="C730" s="132"/>
      <c r="D730" s="132"/>
    </row>
    <row r="731" spans="3:4">
      <c r="C731" s="132"/>
      <c r="D731" s="132"/>
    </row>
    <row r="732" spans="3:4">
      <c r="C732" s="132"/>
      <c r="D732" s="132"/>
    </row>
    <row r="733" spans="3:4">
      <c r="C733" s="132"/>
      <c r="D733" s="132"/>
    </row>
    <row r="734" spans="3:4">
      <c r="C734" s="132"/>
      <c r="D734" s="132"/>
    </row>
    <row r="735" spans="3:4">
      <c r="C735" s="132"/>
      <c r="D735" s="132"/>
    </row>
    <row r="736" spans="3:4">
      <c r="C736" s="132"/>
      <c r="D736" s="132"/>
    </row>
    <row r="737" spans="3:4">
      <c r="C737" s="132"/>
      <c r="D737" s="132"/>
    </row>
    <row r="738" spans="3:4">
      <c r="C738" s="132"/>
      <c r="D738" s="132"/>
    </row>
    <row r="739" spans="3:4">
      <c r="C739" s="132"/>
      <c r="D739" s="132"/>
    </row>
    <row r="740" spans="3:4">
      <c r="C740" s="132"/>
      <c r="D740" s="132"/>
    </row>
    <row r="741" spans="3:4">
      <c r="C741" s="132"/>
      <c r="D741" s="132"/>
    </row>
    <row r="742" spans="3:4">
      <c r="C742" s="132"/>
      <c r="D742" s="132"/>
    </row>
    <row r="743" spans="3:4">
      <c r="C743" s="132"/>
      <c r="D743" s="132"/>
    </row>
    <row r="744" spans="3:4">
      <c r="C744" s="132"/>
      <c r="D744" s="132"/>
    </row>
    <row r="745" spans="3:4">
      <c r="C745" s="132"/>
      <c r="D745" s="132"/>
    </row>
    <row r="746" spans="3:4">
      <c r="C746" s="132"/>
      <c r="D746" s="132"/>
    </row>
    <row r="747" spans="3:4">
      <c r="C747" s="132"/>
      <c r="D747" s="132"/>
    </row>
    <row r="748" spans="3:4">
      <c r="C748" s="132"/>
      <c r="D748" s="132"/>
    </row>
    <row r="749" spans="3:4">
      <c r="C749" s="132"/>
      <c r="D749" s="132"/>
    </row>
    <row r="750" spans="3:4">
      <c r="C750" s="132"/>
      <c r="D750" s="132"/>
    </row>
    <row r="751" spans="3:4">
      <c r="C751" s="132"/>
      <c r="D751" s="132"/>
    </row>
    <row r="752" spans="3:4">
      <c r="C752" s="132"/>
      <c r="D752" s="132"/>
    </row>
    <row r="753" spans="3:4">
      <c r="C753" s="132"/>
      <c r="D753" s="132"/>
    </row>
    <row r="754" spans="3:4">
      <c r="C754" s="132"/>
      <c r="D754" s="132"/>
    </row>
    <row r="755" spans="3:4">
      <c r="C755" s="132"/>
      <c r="D755" s="132"/>
    </row>
    <row r="756" spans="3:4">
      <c r="C756" s="132"/>
      <c r="D756" s="132"/>
    </row>
    <row r="757" spans="3:4">
      <c r="C757" s="132"/>
      <c r="D757" s="132"/>
    </row>
    <row r="758" spans="3:4">
      <c r="C758" s="132"/>
      <c r="D758" s="132"/>
    </row>
    <row r="759" spans="3:4">
      <c r="C759" s="132"/>
      <c r="D759" s="132"/>
    </row>
    <row r="760" spans="3:4">
      <c r="C760" s="132"/>
      <c r="D760" s="132"/>
    </row>
    <row r="761" spans="3:4">
      <c r="C761" s="132"/>
      <c r="D761" s="132"/>
    </row>
    <row r="762" spans="3:4">
      <c r="C762" s="132"/>
      <c r="D762" s="132"/>
    </row>
    <row r="763" spans="3:4">
      <c r="C763" s="132"/>
      <c r="D763" s="132"/>
    </row>
    <row r="764" spans="3:4">
      <c r="C764" s="132"/>
      <c r="D764" s="132"/>
    </row>
    <row r="765" spans="3:4">
      <c r="C765" s="132"/>
      <c r="D765" s="132"/>
    </row>
    <row r="766" spans="3:4">
      <c r="C766" s="132"/>
      <c r="D766" s="132"/>
    </row>
    <row r="767" spans="3:4">
      <c r="C767" s="132"/>
      <c r="D767" s="132"/>
    </row>
    <row r="768" spans="3:4">
      <c r="C768" s="132"/>
      <c r="D768" s="132"/>
    </row>
    <row r="769" spans="3:4">
      <c r="C769" s="132"/>
      <c r="D769" s="132"/>
    </row>
    <row r="770" spans="3:4">
      <c r="C770" s="132"/>
      <c r="D770" s="132"/>
    </row>
    <row r="771" spans="3:4">
      <c r="C771" s="132"/>
      <c r="D771" s="132"/>
    </row>
    <row r="772" spans="3:4">
      <c r="C772" s="132"/>
      <c r="D772" s="132"/>
    </row>
    <row r="773" spans="3:4">
      <c r="C773" s="132"/>
      <c r="D773" s="132"/>
    </row>
    <row r="774" spans="3:4">
      <c r="C774" s="132"/>
      <c r="D774" s="132"/>
    </row>
    <row r="775" spans="3:4">
      <c r="C775" s="132"/>
      <c r="D775" s="132"/>
    </row>
    <row r="776" spans="3:4">
      <c r="C776" s="132"/>
      <c r="D776" s="132"/>
    </row>
    <row r="777" spans="3:4">
      <c r="C777" s="132"/>
      <c r="D777" s="132"/>
    </row>
    <row r="778" spans="3:4">
      <c r="C778" s="132"/>
      <c r="D778" s="132"/>
    </row>
    <row r="779" spans="3:4">
      <c r="C779" s="132"/>
      <c r="D779" s="132"/>
    </row>
    <row r="780" spans="3:4">
      <c r="C780" s="132"/>
      <c r="D780" s="132"/>
    </row>
    <row r="781" spans="3:4">
      <c r="C781" s="132"/>
      <c r="D781" s="132"/>
    </row>
    <row r="782" spans="3:4">
      <c r="C782" s="132"/>
      <c r="D782" s="132"/>
    </row>
    <row r="783" spans="3:4">
      <c r="C783" s="132"/>
      <c r="D783" s="132"/>
    </row>
    <row r="784" spans="3:4">
      <c r="C784" s="132"/>
      <c r="D784" s="132"/>
    </row>
    <row r="785" spans="3:4">
      <c r="C785" s="132"/>
      <c r="D785" s="132"/>
    </row>
    <row r="786" spans="3:4">
      <c r="C786" s="132"/>
      <c r="D786" s="132"/>
    </row>
    <row r="787" spans="3:4">
      <c r="C787" s="132"/>
      <c r="D787" s="132"/>
    </row>
    <row r="788" spans="3:4">
      <c r="C788" s="132"/>
      <c r="D788" s="132"/>
    </row>
    <row r="789" spans="3:4">
      <c r="C789" s="132"/>
      <c r="D789" s="132"/>
    </row>
    <row r="790" spans="3:4">
      <c r="C790" s="132"/>
      <c r="D790" s="132"/>
    </row>
    <row r="791" spans="3:4">
      <c r="C791" s="132"/>
      <c r="D791" s="132"/>
    </row>
    <row r="792" spans="3:4">
      <c r="C792" s="132"/>
      <c r="D792" s="132"/>
    </row>
    <row r="793" spans="3:4">
      <c r="C793" s="132"/>
      <c r="D793" s="132"/>
    </row>
    <row r="794" spans="3:4">
      <c r="C794" s="132"/>
      <c r="D794" s="132"/>
    </row>
    <row r="795" spans="3:4">
      <c r="C795" s="132"/>
      <c r="D795" s="132"/>
    </row>
    <row r="796" spans="3:4">
      <c r="C796" s="132"/>
      <c r="D796" s="132"/>
    </row>
    <row r="797" spans="3:4">
      <c r="C797" s="132"/>
      <c r="D797" s="132"/>
    </row>
    <row r="798" spans="3:4">
      <c r="C798" s="132"/>
      <c r="D798" s="132"/>
    </row>
    <row r="799" spans="3:4">
      <c r="C799" s="132"/>
      <c r="D799" s="132"/>
    </row>
    <row r="800" spans="3:4">
      <c r="C800" s="132"/>
      <c r="D800" s="132"/>
    </row>
    <row r="801" spans="3:4">
      <c r="C801" s="132"/>
      <c r="D801" s="132"/>
    </row>
    <row r="802" spans="3:4">
      <c r="C802" s="132"/>
      <c r="D802" s="132"/>
    </row>
    <row r="803" spans="3:4">
      <c r="C803" s="132"/>
      <c r="D803" s="132"/>
    </row>
    <row r="804" spans="3:4">
      <c r="C804" s="132"/>
      <c r="D804" s="132"/>
    </row>
    <row r="805" spans="3:4">
      <c r="C805" s="132"/>
      <c r="D805" s="132"/>
    </row>
    <row r="806" spans="3:4">
      <c r="C806" s="132"/>
      <c r="D806" s="132"/>
    </row>
    <row r="807" spans="3:4">
      <c r="C807" s="132"/>
      <c r="D807" s="132"/>
    </row>
    <row r="808" spans="3:4">
      <c r="C808" s="132"/>
      <c r="D808" s="132"/>
    </row>
    <row r="809" spans="3:4">
      <c r="C809" s="132"/>
      <c r="D809" s="132"/>
    </row>
    <row r="810" spans="3:4">
      <c r="C810" s="132"/>
      <c r="D810" s="132"/>
    </row>
    <row r="811" spans="3:4">
      <c r="C811" s="132"/>
      <c r="D811" s="132"/>
    </row>
    <row r="812" spans="3:4">
      <c r="C812" s="132"/>
      <c r="D812" s="132"/>
    </row>
    <row r="813" spans="3:4">
      <c r="C813" s="132"/>
      <c r="D813" s="132"/>
    </row>
    <row r="814" spans="3:4">
      <c r="C814" s="132"/>
      <c r="D814" s="132"/>
    </row>
    <row r="815" spans="3:4">
      <c r="C815" s="132"/>
      <c r="D815" s="132"/>
    </row>
    <row r="816" spans="3:4">
      <c r="C816" s="132"/>
      <c r="D816" s="132"/>
    </row>
    <row r="817" spans="3:4">
      <c r="C817" s="132"/>
      <c r="D817" s="132"/>
    </row>
    <row r="818" spans="3:4">
      <c r="C818" s="132"/>
      <c r="D818" s="132"/>
    </row>
    <row r="819" spans="3:4">
      <c r="C819" s="132"/>
      <c r="D819" s="132"/>
    </row>
    <row r="820" spans="3:4">
      <c r="C820" s="132"/>
      <c r="D820" s="132"/>
    </row>
    <row r="821" spans="3:4">
      <c r="C821" s="132"/>
      <c r="D821" s="132"/>
    </row>
    <row r="822" spans="3:4">
      <c r="C822" s="132"/>
      <c r="D822" s="132"/>
    </row>
    <row r="823" spans="3:4">
      <c r="C823" s="132"/>
      <c r="D823" s="132"/>
    </row>
    <row r="824" spans="3:4">
      <c r="C824" s="132"/>
      <c r="D824" s="132"/>
    </row>
    <row r="825" spans="3:4">
      <c r="C825" s="132"/>
      <c r="D825" s="132"/>
    </row>
    <row r="826" spans="3:4">
      <c r="C826" s="132"/>
      <c r="D826" s="132"/>
    </row>
    <row r="827" spans="3:4">
      <c r="C827" s="132"/>
      <c r="D827" s="132"/>
    </row>
    <row r="828" spans="3:4">
      <c r="C828" s="132"/>
      <c r="D828" s="132"/>
    </row>
    <row r="829" spans="3:4">
      <c r="C829" s="132"/>
      <c r="D829" s="132"/>
    </row>
    <row r="830" spans="3:4">
      <c r="C830" s="132"/>
      <c r="D830" s="132"/>
    </row>
    <row r="831" spans="3:4">
      <c r="C831" s="132"/>
      <c r="D831" s="132"/>
    </row>
    <row r="832" spans="3:4">
      <c r="C832" s="132"/>
      <c r="D832" s="132"/>
    </row>
    <row r="833" spans="3:4">
      <c r="C833" s="132"/>
      <c r="D833" s="132"/>
    </row>
    <row r="834" spans="3:4">
      <c r="C834" s="132"/>
      <c r="D834" s="132"/>
    </row>
    <row r="835" spans="3:4">
      <c r="C835" s="132"/>
      <c r="D835" s="132"/>
    </row>
    <row r="836" spans="3:4">
      <c r="C836" s="132"/>
      <c r="D836" s="132"/>
    </row>
    <row r="837" spans="3:4">
      <c r="C837" s="132"/>
      <c r="D837" s="132"/>
    </row>
    <row r="838" spans="3:4">
      <c r="C838" s="132"/>
      <c r="D838" s="132"/>
    </row>
    <row r="839" spans="3:4">
      <c r="C839" s="132"/>
      <c r="D839" s="132"/>
    </row>
    <row r="840" spans="3:4">
      <c r="C840" s="132"/>
      <c r="D840" s="132"/>
    </row>
    <row r="841" spans="3:4">
      <c r="C841" s="132"/>
      <c r="D841" s="132"/>
    </row>
    <row r="842" spans="3:4">
      <c r="C842" s="132"/>
      <c r="D842" s="132"/>
    </row>
    <row r="843" spans="3:4">
      <c r="C843" s="132"/>
      <c r="D843" s="132"/>
    </row>
    <row r="844" spans="3:4">
      <c r="C844" s="132"/>
      <c r="D844" s="132"/>
    </row>
    <row r="845" spans="3:4">
      <c r="C845" s="132"/>
      <c r="D845" s="132"/>
    </row>
    <row r="846" spans="3:4">
      <c r="C846" s="132"/>
      <c r="D846" s="132"/>
    </row>
    <row r="847" spans="3:4">
      <c r="C847" s="132"/>
      <c r="D847" s="132"/>
    </row>
    <row r="848" spans="3:4">
      <c r="C848" s="132"/>
      <c r="D848" s="132"/>
    </row>
    <row r="849" spans="3:4">
      <c r="C849" s="132"/>
      <c r="D849" s="132"/>
    </row>
    <row r="850" spans="3:4">
      <c r="C850" s="132"/>
      <c r="D850" s="132"/>
    </row>
    <row r="851" spans="3:4">
      <c r="C851" s="132"/>
      <c r="D851" s="132"/>
    </row>
    <row r="852" spans="3:4">
      <c r="C852" s="132"/>
      <c r="D852" s="132"/>
    </row>
    <row r="853" spans="3:4">
      <c r="C853" s="132"/>
      <c r="D853" s="132"/>
    </row>
    <row r="854" spans="3:4">
      <c r="C854" s="132"/>
      <c r="D854" s="132"/>
    </row>
    <row r="855" spans="3:4">
      <c r="C855" s="132"/>
      <c r="D855" s="132"/>
    </row>
    <row r="856" spans="3:4">
      <c r="C856" s="132"/>
      <c r="D856" s="132"/>
    </row>
    <row r="857" spans="3:4">
      <c r="C857" s="132"/>
      <c r="D857" s="132"/>
    </row>
    <row r="858" spans="3:4">
      <c r="C858" s="132"/>
      <c r="D858" s="132"/>
    </row>
    <row r="859" spans="3:4">
      <c r="C859" s="132"/>
      <c r="D859" s="132"/>
    </row>
    <row r="860" spans="3:4">
      <c r="C860" s="132"/>
      <c r="D860" s="132"/>
    </row>
    <row r="861" spans="3:4">
      <c r="C861" s="132"/>
      <c r="D861" s="132"/>
    </row>
    <row r="862" spans="3:4">
      <c r="C862" s="132"/>
      <c r="D862" s="132"/>
    </row>
    <row r="863" spans="3:4">
      <c r="C863" s="132"/>
      <c r="D863" s="132"/>
    </row>
    <row r="864" spans="3:4">
      <c r="C864" s="132"/>
      <c r="D864" s="132"/>
    </row>
    <row r="865" spans="3:4">
      <c r="C865" s="132"/>
      <c r="D865" s="132"/>
    </row>
    <row r="866" spans="3:4">
      <c r="C866" s="132"/>
      <c r="D866" s="132"/>
    </row>
    <row r="867" spans="3:4">
      <c r="C867" s="132"/>
      <c r="D867" s="132"/>
    </row>
    <row r="868" spans="3:4">
      <c r="C868" s="132"/>
      <c r="D868" s="132"/>
    </row>
    <row r="869" spans="3:4">
      <c r="C869" s="132"/>
      <c r="D869" s="132"/>
    </row>
    <row r="870" spans="3:4">
      <c r="C870" s="132"/>
      <c r="D870" s="132"/>
    </row>
    <row r="871" spans="3:4">
      <c r="C871" s="132"/>
      <c r="D871" s="132"/>
    </row>
    <row r="872" spans="3:4">
      <c r="C872" s="132"/>
      <c r="D872" s="132"/>
    </row>
    <row r="873" spans="3:4">
      <c r="C873" s="132"/>
      <c r="D873" s="132"/>
    </row>
    <row r="874" spans="3:4">
      <c r="C874" s="132"/>
      <c r="D874" s="132"/>
    </row>
    <row r="875" spans="3:4">
      <c r="C875" s="132"/>
      <c r="D875" s="132"/>
    </row>
    <row r="876" spans="3:4">
      <c r="C876" s="132"/>
      <c r="D876" s="132"/>
    </row>
    <row r="877" spans="3:4">
      <c r="C877" s="132"/>
      <c r="D877" s="132"/>
    </row>
    <row r="878" spans="3:4">
      <c r="C878" s="132"/>
      <c r="D878" s="132"/>
    </row>
    <row r="879" spans="3:4">
      <c r="C879" s="132"/>
      <c r="D879" s="132"/>
    </row>
    <row r="880" spans="3:4">
      <c r="C880" s="132"/>
      <c r="D880" s="132"/>
    </row>
    <row r="881" spans="3:4">
      <c r="C881" s="132"/>
      <c r="D881" s="132"/>
    </row>
    <row r="882" spans="3:4">
      <c r="C882" s="132"/>
      <c r="D882" s="132"/>
    </row>
    <row r="883" spans="3:4">
      <c r="C883" s="132"/>
      <c r="D883" s="132"/>
    </row>
    <row r="884" spans="3:4">
      <c r="C884" s="132"/>
      <c r="D884" s="132"/>
    </row>
    <row r="885" spans="3:4">
      <c r="C885" s="132"/>
      <c r="D885" s="132"/>
    </row>
    <row r="886" spans="3:4">
      <c r="C886" s="132"/>
      <c r="D886" s="132"/>
    </row>
    <row r="887" spans="3:4">
      <c r="C887" s="132"/>
      <c r="D887" s="132"/>
    </row>
    <row r="888" spans="3:4">
      <c r="C888" s="132"/>
      <c r="D888" s="132"/>
    </row>
    <row r="889" spans="3:4">
      <c r="C889" s="132"/>
      <c r="D889" s="132"/>
    </row>
    <row r="890" spans="3:4">
      <c r="C890" s="132"/>
      <c r="D890" s="132"/>
    </row>
    <row r="891" spans="3:4">
      <c r="C891" s="132"/>
      <c r="D891" s="132"/>
    </row>
    <row r="892" spans="3:4">
      <c r="C892" s="132"/>
      <c r="D892" s="132"/>
    </row>
    <row r="893" spans="3:4">
      <c r="C893" s="132"/>
      <c r="D893" s="132"/>
    </row>
    <row r="894" spans="3:4">
      <c r="C894" s="132"/>
      <c r="D894" s="132"/>
    </row>
    <row r="895" spans="3:4">
      <c r="C895" s="132"/>
      <c r="D895" s="132"/>
    </row>
    <row r="896" spans="3:4">
      <c r="C896" s="132"/>
      <c r="D896" s="132"/>
    </row>
    <row r="897" spans="3:4">
      <c r="C897" s="132"/>
      <c r="D897" s="132"/>
    </row>
    <row r="898" spans="3:4">
      <c r="C898" s="132"/>
      <c r="D898" s="132"/>
    </row>
    <row r="899" spans="3:4">
      <c r="C899" s="132"/>
      <c r="D899" s="132"/>
    </row>
    <row r="900" spans="3:4">
      <c r="C900" s="132"/>
      <c r="D900" s="132"/>
    </row>
    <row r="901" spans="3:4">
      <c r="C901" s="132"/>
      <c r="D901" s="132"/>
    </row>
    <row r="902" spans="3:4">
      <c r="C902" s="132"/>
      <c r="D902" s="132"/>
    </row>
    <row r="903" spans="3:4">
      <c r="C903" s="132"/>
      <c r="D903" s="132"/>
    </row>
    <row r="904" spans="3:4">
      <c r="C904" s="132"/>
      <c r="D904" s="132"/>
    </row>
    <row r="905" spans="3:4">
      <c r="C905" s="132"/>
      <c r="D905" s="132"/>
    </row>
    <row r="906" spans="3:4">
      <c r="C906" s="132"/>
      <c r="D906" s="132"/>
    </row>
    <row r="907" spans="3:4">
      <c r="C907" s="132"/>
      <c r="D907" s="132"/>
    </row>
    <row r="908" spans="3:4">
      <c r="C908" s="132"/>
      <c r="D908" s="132"/>
    </row>
    <row r="909" spans="3:4">
      <c r="C909" s="132"/>
      <c r="D909" s="132"/>
    </row>
    <row r="910" spans="3:4">
      <c r="C910" s="132"/>
      <c r="D910" s="132"/>
    </row>
    <row r="911" spans="3:4">
      <c r="C911" s="132"/>
      <c r="D911" s="132"/>
    </row>
    <row r="912" spans="3:4">
      <c r="C912" s="132"/>
      <c r="D912" s="132"/>
    </row>
    <row r="913" spans="3:4">
      <c r="C913" s="132"/>
      <c r="D913" s="132"/>
    </row>
    <row r="914" spans="3:4">
      <c r="C914" s="132"/>
      <c r="D914" s="132"/>
    </row>
    <row r="915" spans="3:4">
      <c r="C915" s="132"/>
      <c r="D915" s="132"/>
    </row>
    <row r="916" spans="3:4">
      <c r="C916" s="132"/>
      <c r="D916" s="132"/>
    </row>
    <row r="917" spans="3:4">
      <c r="C917" s="132"/>
      <c r="D917" s="132"/>
    </row>
    <row r="918" spans="3:4">
      <c r="C918" s="132"/>
      <c r="D918" s="132"/>
    </row>
    <row r="919" spans="3:4">
      <c r="C919" s="132"/>
      <c r="D919" s="132"/>
    </row>
    <row r="920" spans="3:4">
      <c r="C920" s="132"/>
      <c r="D920" s="132"/>
    </row>
    <row r="921" spans="3:4">
      <c r="C921" s="132"/>
      <c r="D921" s="132"/>
    </row>
    <row r="922" spans="3:4">
      <c r="C922" s="132"/>
      <c r="D922" s="132"/>
    </row>
    <row r="923" spans="3:4">
      <c r="C923" s="132"/>
      <c r="D923" s="132"/>
    </row>
    <row r="924" spans="3:4">
      <c r="C924" s="132"/>
      <c r="D924" s="132"/>
    </row>
    <row r="925" spans="3:4">
      <c r="C925" s="132"/>
      <c r="D925" s="132"/>
    </row>
    <row r="926" spans="3:4">
      <c r="C926" s="132"/>
      <c r="D926" s="132"/>
    </row>
    <row r="927" spans="3:4">
      <c r="C927" s="132"/>
      <c r="D927" s="132"/>
    </row>
    <row r="928" spans="3:4">
      <c r="C928" s="132"/>
      <c r="D928" s="132"/>
    </row>
    <row r="929" spans="3:4">
      <c r="C929" s="132"/>
      <c r="D929" s="132"/>
    </row>
    <row r="930" spans="3:4">
      <c r="C930" s="132"/>
      <c r="D930" s="132"/>
    </row>
    <row r="931" spans="3:4">
      <c r="C931" s="132"/>
      <c r="D931" s="132"/>
    </row>
    <row r="932" spans="3:4">
      <c r="C932" s="132"/>
      <c r="D932" s="132"/>
    </row>
    <row r="933" spans="3:4">
      <c r="C933" s="132"/>
      <c r="D933" s="132"/>
    </row>
    <row r="934" spans="3:4">
      <c r="C934" s="132"/>
      <c r="D934" s="132"/>
    </row>
    <row r="935" spans="3:4">
      <c r="C935" s="132"/>
      <c r="D935" s="132"/>
    </row>
    <row r="936" spans="3:4">
      <c r="C936" s="132"/>
      <c r="D936" s="132"/>
    </row>
    <row r="937" spans="3:4">
      <c r="C937" s="132"/>
      <c r="D937" s="132"/>
    </row>
    <row r="938" spans="3:4">
      <c r="C938" s="132"/>
      <c r="D938" s="132"/>
    </row>
    <row r="939" spans="3:4">
      <c r="C939" s="132"/>
      <c r="D939" s="132"/>
    </row>
    <row r="940" spans="3:4">
      <c r="C940" s="132"/>
      <c r="D940" s="132"/>
    </row>
    <row r="941" spans="3:4">
      <c r="C941" s="132"/>
      <c r="D941" s="132"/>
    </row>
    <row r="942" spans="3:4">
      <c r="C942" s="132"/>
      <c r="D942" s="132"/>
    </row>
    <row r="943" spans="3:4">
      <c r="C943" s="132"/>
      <c r="D943" s="132"/>
    </row>
    <row r="944" spans="3:4">
      <c r="C944" s="132"/>
      <c r="D944" s="132"/>
    </row>
    <row r="945" spans="3:4">
      <c r="C945" s="132"/>
      <c r="D945" s="132"/>
    </row>
    <row r="946" spans="3:4">
      <c r="C946" s="132"/>
      <c r="D946" s="132"/>
    </row>
    <row r="947" spans="3:4">
      <c r="C947" s="132"/>
      <c r="D947" s="132"/>
    </row>
    <row r="948" spans="3:4">
      <c r="C948" s="132"/>
      <c r="D948" s="132"/>
    </row>
    <row r="949" spans="3:4">
      <c r="C949" s="132"/>
      <c r="D949" s="132"/>
    </row>
    <row r="950" spans="3:4">
      <c r="C950" s="132"/>
      <c r="D950" s="132"/>
    </row>
    <row r="951" spans="3:4">
      <c r="C951" s="132"/>
      <c r="D951" s="132"/>
    </row>
    <row r="952" spans="3:4">
      <c r="C952" s="132"/>
      <c r="D952" s="132"/>
    </row>
    <row r="953" spans="3:4">
      <c r="C953" s="132"/>
      <c r="D953" s="132"/>
    </row>
    <row r="954" spans="3:4">
      <c r="C954" s="132"/>
      <c r="D954" s="132"/>
    </row>
    <row r="955" spans="3:4">
      <c r="C955" s="132"/>
      <c r="D955" s="132"/>
    </row>
    <row r="956" spans="3:4">
      <c r="C956" s="132"/>
      <c r="D956" s="132"/>
    </row>
    <row r="957" spans="3:4">
      <c r="C957" s="132"/>
      <c r="D957" s="132"/>
    </row>
    <row r="958" spans="3:4">
      <c r="C958" s="132"/>
      <c r="D958" s="132"/>
    </row>
    <row r="959" spans="3:4">
      <c r="C959" s="132"/>
      <c r="D959" s="132"/>
    </row>
    <row r="960" spans="3:4">
      <c r="C960" s="132"/>
      <c r="D960" s="132"/>
    </row>
    <row r="961" spans="3:4">
      <c r="C961" s="132"/>
      <c r="D961" s="132"/>
    </row>
    <row r="962" spans="3:4">
      <c r="C962" s="132"/>
      <c r="D962" s="132"/>
    </row>
    <row r="963" spans="3:4">
      <c r="C963" s="132"/>
      <c r="D963" s="132"/>
    </row>
    <row r="964" spans="3:4">
      <c r="C964" s="132"/>
      <c r="D964" s="132"/>
    </row>
    <row r="965" spans="3:4">
      <c r="C965" s="132"/>
      <c r="D965" s="132"/>
    </row>
    <row r="966" spans="3:4">
      <c r="C966" s="132"/>
      <c r="D966" s="132"/>
    </row>
    <row r="967" spans="3:4">
      <c r="C967" s="132"/>
      <c r="D967" s="132"/>
    </row>
    <row r="968" spans="3:4">
      <c r="C968" s="132"/>
      <c r="D968" s="132"/>
    </row>
    <row r="969" spans="3:4">
      <c r="C969" s="132"/>
      <c r="D969" s="132"/>
    </row>
    <row r="970" spans="3:4">
      <c r="C970" s="132"/>
      <c r="D970" s="132"/>
    </row>
    <row r="971" spans="3:4">
      <c r="C971" s="132"/>
      <c r="D971" s="132"/>
    </row>
    <row r="972" spans="3:4">
      <c r="C972" s="132"/>
      <c r="D972" s="132"/>
    </row>
    <row r="973" spans="3:4">
      <c r="C973" s="132"/>
      <c r="D973" s="132"/>
    </row>
    <row r="974" spans="3:4">
      <c r="C974" s="132"/>
      <c r="D974" s="132"/>
    </row>
    <row r="975" spans="3:4">
      <c r="C975" s="132"/>
      <c r="D975" s="132"/>
    </row>
    <row r="976" spans="3:4">
      <c r="C976" s="132"/>
      <c r="D976" s="132"/>
    </row>
    <row r="977" spans="3:4">
      <c r="C977" s="132"/>
      <c r="D977" s="132"/>
    </row>
    <row r="978" spans="3:4">
      <c r="C978" s="132"/>
      <c r="D978" s="132"/>
    </row>
    <row r="979" spans="3:4">
      <c r="C979" s="132"/>
      <c r="D979" s="132"/>
    </row>
    <row r="980" spans="3:4">
      <c r="C980" s="132"/>
      <c r="D980" s="132"/>
    </row>
    <row r="981" spans="3:4">
      <c r="C981" s="132"/>
      <c r="D981" s="132"/>
    </row>
    <row r="982" spans="3:4">
      <c r="C982" s="132"/>
      <c r="D982" s="132"/>
    </row>
    <row r="983" spans="3:4">
      <c r="C983" s="132"/>
      <c r="D983" s="132"/>
    </row>
    <row r="984" spans="3:4">
      <c r="C984" s="132"/>
      <c r="D984" s="132"/>
    </row>
    <row r="985" spans="3:4">
      <c r="C985" s="132"/>
      <c r="D985" s="132"/>
    </row>
    <row r="986" spans="3:4">
      <c r="C986" s="132"/>
      <c r="D986" s="132"/>
    </row>
    <row r="987" spans="3:4">
      <c r="C987" s="132"/>
      <c r="D987" s="132"/>
    </row>
    <row r="988" spans="3:4">
      <c r="C988" s="132"/>
      <c r="D988" s="132"/>
    </row>
    <row r="989" spans="3:4">
      <c r="C989" s="132"/>
      <c r="D989" s="132"/>
    </row>
    <row r="990" spans="3:4">
      <c r="C990" s="132"/>
      <c r="D990" s="132"/>
    </row>
    <row r="991" spans="3:4">
      <c r="C991" s="132"/>
      <c r="D991" s="132"/>
    </row>
    <row r="992" spans="3:4">
      <c r="C992" s="132"/>
      <c r="D992" s="132"/>
    </row>
    <row r="993" spans="3:4">
      <c r="C993" s="132"/>
      <c r="D993" s="132"/>
    </row>
    <row r="994" spans="3:4">
      <c r="C994" s="132"/>
      <c r="D994" s="132"/>
    </row>
    <row r="995" spans="3:4">
      <c r="C995" s="132"/>
      <c r="D995" s="132"/>
    </row>
    <row r="996" spans="3:4">
      <c r="C996" s="132"/>
      <c r="D996" s="132"/>
    </row>
    <row r="997" spans="3:4">
      <c r="C997" s="132"/>
      <c r="D997" s="132"/>
    </row>
    <row r="998" spans="3:4">
      <c r="C998" s="132"/>
      <c r="D998" s="132"/>
    </row>
    <row r="999" spans="3:4">
      <c r="C999" s="132"/>
      <c r="D999" s="132"/>
    </row>
    <row r="1000" spans="3:4">
      <c r="C1000" s="132"/>
      <c r="D1000" s="132"/>
    </row>
    <row r="1001" spans="3:4">
      <c r="C1001" s="132"/>
      <c r="D1001" s="132"/>
    </row>
    <row r="1002" spans="3:4">
      <c r="C1002" s="132"/>
      <c r="D1002" s="132"/>
    </row>
    <row r="1003" spans="3:4">
      <c r="C1003" s="132"/>
      <c r="D1003" s="132"/>
    </row>
    <row r="1004" spans="3:4">
      <c r="C1004" s="132"/>
      <c r="D1004" s="132"/>
    </row>
    <row r="1005" spans="3:4">
      <c r="C1005" s="132"/>
      <c r="D1005" s="132"/>
    </row>
    <row r="1006" spans="3:4">
      <c r="C1006" s="132"/>
      <c r="D1006" s="132"/>
    </row>
    <row r="1007" spans="3:4">
      <c r="C1007" s="132"/>
      <c r="D1007" s="132"/>
    </row>
    <row r="1008" spans="3:4">
      <c r="C1008" s="132"/>
      <c r="D1008" s="132"/>
    </row>
    <row r="1009" spans="3:4">
      <c r="C1009" s="132"/>
      <c r="D1009" s="132"/>
    </row>
    <row r="1010" spans="3:4">
      <c r="C1010" s="132"/>
      <c r="D1010" s="132"/>
    </row>
    <row r="1011" spans="3:4">
      <c r="C1011" s="132"/>
      <c r="D1011" s="132"/>
    </row>
  </sheetData>
  <mergeCells count="7">
    <mergeCell ref="B21:E21"/>
    <mergeCell ref="A11:A12"/>
    <mergeCell ref="B11:F11"/>
    <mergeCell ref="S11:V11"/>
    <mergeCell ref="G11:J11"/>
    <mergeCell ref="K11:N11"/>
    <mergeCell ref="O11:R11"/>
  </mergeCells>
  <hyperlinks>
    <hyperlink ref="A1" location="'Table des matières'!A1" display="Retour à la Table des matières" xr:uid="{59E52551-EAD5-DA4C-A0F8-72E43829B48B}"/>
  </hyperlinks>
  <pageMargins left="0.7" right="0.7" top="0.75" bottom="0.75" header="0.3" footer="0.3"/>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B5F768-ECE3-364B-A8CA-D214D93378F6}">
  <sheetPr codeName="Sheet12"/>
  <dimension ref="A1:J47"/>
  <sheetViews>
    <sheetView workbookViewId="0">
      <selection activeCell="A8" sqref="A8"/>
    </sheetView>
  </sheetViews>
  <sheetFormatPr baseColWidth="10" defaultRowHeight="16"/>
  <cols>
    <col min="1" max="1" width="44.33203125" customWidth="1"/>
    <col min="2" max="2" width="17.1640625" customWidth="1"/>
    <col min="3" max="3" width="17.5" customWidth="1"/>
    <col min="4" max="4" width="17.33203125" customWidth="1"/>
    <col min="5" max="5" width="16.83203125" customWidth="1"/>
  </cols>
  <sheetData>
    <row r="1" spans="1:7">
      <c r="A1" s="501" t="s">
        <v>841</v>
      </c>
    </row>
    <row r="2" spans="1:7" ht="26">
      <c r="A2" s="48" t="s">
        <v>265</v>
      </c>
    </row>
    <row r="4" spans="1:7" ht="178" customHeight="1">
      <c r="A4" s="709" t="s">
        <v>1089</v>
      </c>
      <c r="B4" s="709"/>
      <c r="C4" s="709"/>
      <c r="D4" s="709"/>
      <c r="E4" s="709"/>
      <c r="F4" s="709"/>
      <c r="G4" s="709"/>
    </row>
    <row r="6" spans="1:7" ht="35" thickBot="1">
      <c r="A6" s="52"/>
      <c r="B6" s="81" t="s">
        <v>10</v>
      </c>
      <c r="C6" s="56" t="s">
        <v>11</v>
      </c>
      <c r="D6" s="57" t="s">
        <v>12</v>
      </c>
    </row>
    <row r="7" spans="1:7">
      <c r="A7" s="19" t="s">
        <v>29</v>
      </c>
      <c r="B7" s="54">
        <f>(B18-B15)*(1-'Clés de répartition'!B299)*'Clés de répartition'!B297</f>
        <v>95811892.194354787</v>
      </c>
      <c r="C7" s="53">
        <f>'Privé&amp;Indirect - ARTM'!B12*'Clés de répartition'!$F$255*'Clés de répartition'!$F$269</f>
        <v>1695373.0654563475</v>
      </c>
      <c r="D7" s="54">
        <f>B15*'Clés de répartition'!B189</f>
        <v>544000</v>
      </c>
    </row>
    <row r="8" spans="1:7">
      <c r="A8" s="19" t="s">
        <v>322</v>
      </c>
      <c r="B8" s="54">
        <f>B7/(IF('Résultat - projection'!$B$209=1,'Clés de répartition'!B50,'Clés de répartition'!G50)*'Clés de répartition'!$D134)</f>
        <v>155.51443112853329</v>
      </c>
      <c r="C8" s="54">
        <f>C7/('Clés de répartition'!C50*'Clés de répartition'!$D$134)</f>
        <v>3.2663251748016853</v>
      </c>
      <c r="D8" s="54">
        <f>D7/(IF('Résultat - projection'!$B$209=1,'Clés de répartition'!D50,'Clés de répartition'!I50)*'Clés de répartition'!$D$134)</f>
        <v>11.701898151934483</v>
      </c>
    </row>
    <row r="9" spans="1:7">
      <c r="A9" s="19" t="s">
        <v>28</v>
      </c>
      <c r="B9" s="54">
        <f>C23*(1-'Clés de répartition'!B299)*'Clés de répartition'!B297</f>
        <v>575488508.84926832</v>
      </c>
      <c r="C9" s="54">
        <f>'Privé&amp;Indirect - ARTM'!E11*'Clés de répartition'!$F$255*'Clés de répartition'!$F$269</f>
        <v>524452250.32853132</v>
      </c>
      <c r="D9" s="54">
        <f>(D26+D27)*'Clés de répartition'!B189</f>
        <v>299223.53416005103</v>
      </c>
    </row>
    <row r="10" spans="1:7">
      <c r="A10" s="19" t="s">
        <v>323</v>
      </c>
      <c r="B10" s="54">
        <f>B9/(IF('Résultat - projection'!$B$209=1,'Clés de répartition'!B50,'Clés de répartition'!G50)*'Clés de répartition'!$D134)</f>
        <v>934.08830600232091</v>
      </c>
      <c r="C10" s="54">
        <f>C9/(IF('Résultat - projection'!$B$209=1,'Clés de répartition'!C50,'Clés de répartition'!H50)*'Clés de répartition'!$D134)</f>
        <v>1010.4157150617327</v>
      </c>
      <c r="D10" s="54">
        <f>D9/(IF('Résultat - projection'!$B$209=1,'Clés de répartition'!D50,'Clés de répartition'!I50)*'Clés de répartition'!$D134)</f>
        <v>6.4365502231669218</v>
      </c>
    </row>
    <row r="12" spans="1:7">
      <c r="A12" s="107" t="s">
        <v>266</v>
      </c>
      <c r="B12" s="108" t="s">
        <v>932</v>
      </c>
    </row>
    <row r="13" spans="1:7">
      <c r="A13" s="19" t="s">
        <v>267</v>
      </c>
      <c r="B13" s="53">
        <v>37200000</v>
      </c>
    </row>
    <row r="14" spans="1:7">
      <c r="A14" s="19" t="s">
        <v>268</v>
      </c>
      <c r="B14" s="53">
        <v>93400000</v>
      </c>
    </row>
    <row r="15" spans="1:7">
      <c r="A15" s="19" t="s">
        <v>269</v>
      </c>
      <c r="B15" s="53">
        <v>800000</v>
      </c>
    </row>
    <row r="16" spans="1:7">
      <c r="A16" s="19" t="s">
        <v>270</v>
      </c>
      <c r="B16" s="53">
        <v>7200000</v>
      </c>
    </row>
    <row r="17" spans="1:10">
      <c r="A17" s="19" t="s">
        <v>271</v>
      </c>
      <c r="B17" s="53">
        <v>19000000</v>
      </c>
    </row>
    <row r="18" spans="1:10">
      <c r="A18" s="19" t="s">
        <v>40</v>
      </c>
      <c r="B18" s="54">
        <f>SUM(B13:B17)</f>
        <v>157600000</v>
      </c>
    </row>
    <row r="20" spans="1:10" ht="16" customHeight="1">
      <c r="A20" s="107" t="s">
        <v>273</v>
      </c>
      <c r="B20" s="108" t="s">
        <v>284</v>
      </c>
      <c r="C20" s="108" t="s">
        <v>285</v>
      </c>
      <c r="D20" s="108" t="s">
        <v>286</v>
      </c>
      <c r="E20" s="108" t="s">
        <v>918</v>
      </c>
      <c r="F20" s="714" t="s">
        <v>1049</v>
      </c>
      <c r="G20" s="714"/>
      <c r="H20" s="714"/>
      <c r="I20" s="714"/>
      <c r="J20" s="714"/>
    </row>
    <row r="21" spans="1:10">
      <c r="A21" s="19" t="s">
        <v>274</v>
      </c>
      <c r="B21" s="53">
        <v>9055300000</v>
      </c>
      <c r="C21" s="54">
        <f>B21/10</f>
        <v>905530000</v>
      </c>
      <c r="D21" s="53">
        <v>2011100000</v>
      </c>
      <c r="E21" s="54">
        <f>D21/10</f>
        <v>201110000</v>
      </c>
      <c r="F21" s="714"/>
      <c r="G21" s="714"/>
      <c r="H21" s="714"/>
      <c r="I21" s="714"/>
      <c r="J21" s="714"/>
    </row>
    <row r="22" spans="1:10">
      <c r="A22" s="19" t="s">
        <v>275</v>
      </c>
      <c r="B22" s="53">
        <v>362800000</v>
      </c>
      <c r="C22" s="54">
        <f>B22/10</f>
        <v>36280000</v>
      </c>
      <c r="D22" s="53">
        <v>5896400000</v>
      </c>
      <c r="E22" s="54">
        <f>D22/10</f>
        <v>589640000</v>
      </c>
      <c r="F22" s="714"/>
      <c r="G22" s="714"/>
      <c r="H22" s="714"/>
      <c r="I22" s="714"/>
      <c r="J22" s="714"/>
    </row>
    <row r="23" spans="1:10">
      <c r="A23" s="19" t="s">
        <v>40</v>
      </c>
      <c r="B23" s="54">
        <f>SUM(B21:B22)</f>
        <v>9418100000</v>
      </c>
      <c r="C23" s="54">
        <f>SUM(C21:C22)</f>
        <v>941810000</v>
      </c>
      <c r="D23" s="54">
        <f t="shared" ref="D23:E23" si="0">SUM(D21:D22)</f>
        <v>7907500000</v>
      </c>
      <c r="E23" s="54">
        <f t="shared" si="0"/>
        <v>790750000</v>
      </c>
    </row>
    <row r="24" spans="1:10">
      <c r="A24" s="19" t="s">
        <v>888</v>
      </c>
      <c r="C24" s="54">
        <f>C23/463.428</f>
        <v>2032268.227211131</v>
      </c>
    </row>
    <row r="25" spans="1:10">
      <c r="A25" s="107" t="s">
        <v>278</v>
      </c>
      <c r="B25" s="108" t="s">
        <v>279</v>
      </c>
      <c r="C25" s="108" t="s">
        <v>276</v>
      </c>
      <c r="D25" s="108" t="s">
        <v>79</v>
      </c>
    </row>
    <row r="26" spans="1:10">
      <c r="A26" s="19" t="s">
        <v>280</v>
      </c>
      <c r="B26" s="53">
        <f>17500000+18000000</f>
        <v>35500000</v>
      </c>
      <c r="C26" s="53">
        <f>B26/5</f>
        <v>7100000</v>
      </c>
      <c r="D26" s="54">
        <f>C26*('Clés de répartition'!$B$183/'Clés de répartition'!$B$182)</f>
        <v>134929.68453059671</v>
      </c>
    </row>
    <row r="27" spans="1:10" ht="35" customHeight="1">
      <c r="A27" s="111" t="s">
        <v>281</v>
      </c>
      <c r="B27" s="53">
        <v>15500000</v>
      </c>
      <c r="C27" s="53">
        <f>B27/5</f>
        <v>3100000</v>
      </c>
      <c r="D27" s="54">
        <f>C27*('Clés de répartition'!B181/'Clés de répartition'!B180)</f>
        <v>305104.92452830181</v>
      </c>
    </row>
    <row r="29" spans="1:10">
      <c r="A29" s="23" t="s">
        <v>272</v>
      </c>
    </row>
    <row r="30" spans="1:10">
      <c r="A30" s="45" t="s">
        <v>68</v>
      </c>
    </row>
    <row r="31" spans="1:10">
      <c r="A31" s="23"/>
    </row>
    <row r="32" spans="1:10">
      <c r="A32" s="23" t="s">
        <v>277</v>
      </c>
    </row>
    <row r="33" spans="1:4">
      <c r="A33" s="45" t="s">
        <v>68</v>
      </c>
    </row>
    <row r="34" spans="1:4">
      <c r="A34" s="23"/>
    </row>
    <row r="35" spans="1:4">
      <c r="A35" s="23" t="s">
        <v>282</v>
      </c>
    </row>
    <row r="36" spans="1:4">
      <c r="A36" s="45" t="s">
        <v>68</v>
      </c>
    </row>
    <row r="38" spans="1:4">
      <c r="A38" s="23"/>
    </row>
    <row r="39" spans="1:4">
      <c r="A39" t="s">
        <v>909</v>
      </c>
      <c r="B39">
        <v>121839.6</v>
      </c>
    </row>
    <row r="40" spans="1:4">
      <c r="A40" t="s">
        <v>908</v>
      </c>
      <c r="B40">
        <v>2027.5</v>
      </c>
      <c r="C40" s="16">
        <f>B40/$B$39</f>
        <v>1.6640730928203964E-2</v>
      </c>
    </row>
    <row r="41" spans="1:4">
      <c r="A41" t="s">
        <v>910</v>
      </c>
      <c r="B41">
        <v>6356.8</v>
      </c>
      <c r="C41" s="16">
        <f>B41/$B$39</f>
        <v>5.2173513373320331E-2</v>
      </c>
    </row>
    <row r="43" spans="1:4">
      <c r="A43" t="s">
        <v>911</v>
      </c>
      <c r="B43" t="s">
        <v>916</v>
      </c>
      <c r="C43" t="s">
        <v>917</v>
      </c>
    </row>
    <row r="44" spans="1:4">
      <c r="A44" t="s">
        <v>912</v>
      </c>
      <c r="B44">
        <v>24383.599999999999</v>
      </c>
      <c r="C44">
        <v>9055.2999999999993</v>
      </c>
      <c r="D44" s="16">
        <f>C44/B44</f>
        <v>0.37136846076871338</v>
      </c>
    </row>
    <row r="45" spans="1:4">
      <c r="A45" t="s">
        <v>913</v>
      </c>
      <c r="B45">
        <v>7161</v>
      </c>
      <c r="C45">
        <v>362.8</v>
      </c>
      <c r="D45" s="16">
        <f t="shared" ref="D45:D47" si="1">C45/B45</f>
        <v>5.066331517944421E-2</v>
      </c>
    </row>
    <row r="46" spans="1:4">
      <c r="A46" t="s">
        <v>914</v>
      </c>
      <c r="B46">
        <v>2792.3</v>
      </c>
      <c r="C46">
        <v>2011.1</v>
      </c>
      <c r="D46" s="16">
        <f t="shared" si="1"/>
        <v>0.72023063424417144</v>
      </c>
    </row>
    <row r="47" spans="1:4">
      <c r="A47" t="s">
        <v>915</v>
      </c>
      <c r="B47">
        <v>10989.1</v>
      </c>
      <c r="C47">
        <v>5896.4</v>
      </c>
      <c r="D47" s="16">
        <f t="shared" si="1"/>
        <v>0.53656805379876416</v>
      </c>
    </row>
  </sheetData>
  <mergeCells count="2">
    <mergeCell ref="A4:G4"/>
    <mergeCell ref="F20:J22"/>
  </mergeCells>
  <hyperlinks>
    <hyperlink ref="A30" r:id="rId1" xr:uid="{58C4235A-D322-3A4E-9AD2-FDC341FE5EFE}"/>
    <hyperlink ref="A33" r:id="rId2" xr:uid="{9ECEF741-889C-6140-853C-386A695F1CB4}"/>
    <hyperlink ref="A36" r:id="rId3" xr:uid="{B74D7194-8C98-114D-BCFC-21467D11E11E}"/>
    <hyperlink ref="A1" location="'Table des matières'!A1" display="Retour à la Table des matières" xr:uid="{1C270A86-0C86-F349-A265-B2206B85F495}"/>
  </hyperlinks>
  <pageMargins left="0.7" right="0.7" top="0.75" bottom="0.75" header="0.3" footer="0.3"/>
  <ignoredErrors>
    <ignoredError sqref="B18" formulaRange="1"/>
  </ignoredError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0901B5-33D4-334F-BF49-33A2271E9B00}">
  <sheetPr codeName="Sheet13"/>
  <dimension ref="A1:O113"/>
  <sheetViews>
    <sheetView topLeftCell="A4" zoomScale="75" workbookViewId="0">
      <selection activeCell="D16" sqref="D16"/>
    </sheetView>
  </sheetViews>
  <sheetFormatPr baseColWidth="10" defaultRowHeight="16"/>
  <cols>
    <col min="1" max="1" width="57.6640625" customWidth="1"/>
    <col min="2" max="2" width="21" customWidth="1"/>
    <col min="3" max="3" width="17.33203125" customWidth="1"/>
    <col min="4" max="4" width="16" bestFit="1" customWidth="1"/>
    <col min="5" max="5" width="15.33203125" customWidth="1"/>
    <col min="6" max="6" width="17.33203125" customWidth="1"/>
    <col min="7" max="7" width="16.33203125" customWidth="1"/>
    <col min="8" max="8" width="17.33203125" customWidth="1"/>
    <col min="9" max="10" width="11" bestFit="1" customWidth="1"/>
    <col min="11" max="11" width="11.5" bestFit="1" customWidth="1"/>
    <col min="12" max="12" width="13.83203125" customWidth="1"/>
  </cols>
  <sheetData>
    <row r="1" spans="1:15">
      <c r="A1" s="501" t="s">
        <v>841</v>
      </c>
    </row>
    <row r="2" spans="1:15" ht="26">
      <c r="A2" s="48" t="s">
        <v>843</v>
      </c>
    </row>
    <row r="4" spans="1:15" ht="147" customHeight="1">
      <c r="A4" s="709" t="s">
        <v>792</v>
      </c>
      <c r="B4" s="709"/>
      <c r="C4" s="709"/>
      <c r="D4" s="709"/>
    </row>
    <row r="5" spans="1:15">
      <c r="J5" s="3" t="s">
        <v>1050</v>
      </c>
      <c r="K5" s="3" t="s">
        <v>1051</v>
      </c>
      <c r="L5" s="3" t="s">
        <v>1052</v>
      </c>
      <c r="M5" s="3" t="s">
        <v>1057</v>
      </c>
    </row>
    <row r="6" spans="1:15" ht="17" thickBot="1">
      <c r="B6" s="93" t="s">
        <v>887</v>
      </c>
      <c r="C6" s="94" t="s">
        <v>886</v>
      </c>
      <c r="I6" s="19" t="s">
        <v>1053</v>
      </c>
      <c r="J6" s="53">
        <v>261</v>
      </c>
      <c r="K6" s="53">
        <v>2396</v>
      </c>
      <c r="L6" s="53">
        <v>73932</v>
      </c>
    </row>
    <row r="7" spans="1:15">
      <c r="A7" s="19" t="s">
        <v>181</v>
      </c>
      <c r="B7" s="19">
        <v>3428</v>
      </c>
      <c r="C7">
        <v>136.6</v>
      </c>
      <c r="I7" s="19" t="s">
        <v>1054</v>
      </c>
      <c r="J7">
        <v>1</v>
      </c>
      <c r="K7">
        <v>25</v>
      </c>
      <c r="L7">
        <v>298</v>
      </c>
    </row>
    <row r="8" spans="1:15">
      <c r="A8" s="19" t="s">
        <v>182</v>
      </c>
      <c r="B8" s="54">
        <f>B7*$B$13*1000</f>
        <v>1620325087.6008177</v>
      </c>
      <c r="C8" s="54">
        <f>C7*$B$13*1000</f>
        <v>64567213.234034911</v>
      </c>
      <c r="I8" s="19" t="s">
        <v>1055</v>
      </c>
      <c r="J8">
        <v>2307</v>
      </c>
      <c r="K8">
        <v>0.14000000000000001</v>
      </c>
      <c r="L8">
        <v>2.1999999999999999E-2</v>
      </c>
      <c r="M8" s="21">
        <f>J7*J8+K7*K8+L7*L8</f>
        <v>2317.056</v>
      </c>
    </row>
    <row r="9" spans="1:15">
      <c r="A9" s="19" t="s">
        <v>589</v>
      </c>
      <c r="B9" s="54">
        <f>B8*'Clés de répartition'!B297*(1-'Clés de répartition'!B299)*0.9/('Clés de répartition'!B50*'Clés de répartition'!D134)</f>
        <v>1446.3363572536914</v>
      </c>
      <c r="C9" s="59">
        <f>C8*'Clés de répartition'!F255*'Clés de répartition'!F269/('Clés de répartition'!C50*'Clés de répartition'!$D$134)</f>
        <v>71.905050819337447</v>
      </c>
      <c r="I9" s="19" t="s">
        <v>1056</v>
      </c>
      <c r="J9" s="54">
        <f>J6*J7*J8/1000000</f>
        <v>0.60212699999999997</v>
      </c>
      <c r="K9" s="54">
        <f t="shared" ref="K9:L9" si="0">K6*K7*K8/1000000</f>
        <v>8.3859999999999994E-3</v>
      </c>
      <c r="L9" s="54">
        <f t="shared" si="0"/>
        <v>0.48469819199999997</v>
      </c>
      <c r="O9" s="16"/>
    </row>
    <row r="10" spans="1:15">
      <c r="A10" s="385" t="s">
        <v>680</v>
      </c>
      <c r="B10" s="54"/>
      <c r="C10" s="54"/>
      <c r="I10" s="19" t="s">
        <v>1058</v>
      </c>
      <c r="J10" s="54">
        <f>J9/$M$8*1000000</f>
        <v>259.86726259529331</v>
      </c>
      <c r="K10" s="54">
        <f>K9/$M$8*1000000</f>
        <v>3.6192478731631859</v>
      </c>
      <c r="L10" s="54">
        <f>L9/$M$8*1000000</f>
        <v>209.18708568114019</v>
      </c>
      <c r="M10" s="59">
        <f>SUM(J10:L10)</f>
        <v>472.67359614959673</v>
      </c>
    </row>
    <row r="11" spans="1:15">
      <c r="A11" s="19" t="s">
        <v>590</v>
      </c>
      <c r="B11" s="98" cm="1">
        <f t="array" ref="B11">IF(Bienvenue!G11=1,INDEX(B16:B31,Bienvenue!G10,1),INDEX(B33:B51,Bienvenue!G11-1,1))</f>
        <v>678.81993073148044</v>
      </c>
      <c r="C11" s="220"/>
    </row>
    <row r="13" spans="1:15">
      <c r="A13" s="19" t="s">
        <v>791</v>
      </c>
      <c r="B13" s="53">
        <f>M10</f>
        <v>472.67359614959673</v>
      </c>
    </row>
    <row r="14" spans="1:15">
      <c r="G14" t="s">
        <v>1090</v>
      </c>
    </row>
    <row r="15" spans="1:15" ht="69" thickBot="1">
      <c r="A15" s="306" t="s">
        <v>1060</v>
      </c>
      <c r="B15" s="301" t="s">
        <v>1128</v>
      </c>
      <c r="C15" s="301" t="s">
        <v>699</v>
      </c>
      <c r="D15" s="335" t="s">
        <v>1129</v>
      </c>
      <c r="E15" s="301" t="s">
        <v>1127</v>
      </c>
      <c r="F15" s="301" t="s">
        <v>1130</v>
      </c>
      <c r="G15" s="335" t="s">
        <v>1132</v>
      </c>
      <c r="H15" s="301" t="s">
        <v>1091</v>
      </c>
      <c r="I15" s="301" t="s">
        <v>1131</v>
      </c>
    </row>
    <row r="16" spans="1:15" ht="17">
      <c r="A16" s="298" t="s">
        <v>202</v>
      </c>
      <c r="B16" s="53">
        <f>Fonctions!O2*'Privé - Temps'!$B$11</f>
        <v>678.81993073148044</v>
      </c>
      <c r="C16" s="54">
        <f>B16*'Clés de répartition'!B50*'Clés de répartition'!D134</f>
        <v>418218563.709171</v>
      </c>
      <c r="D16" s="155">
        <f>Fonctions!V2*'Privé - Temps'!$B$11</f>
        <v>664.04844169573278</v>
      </c>
      <c r="E16" s="16">
        <f t="shared" ref="E16:E31" si="1">D16/B16</f>
        <v>0.97823945885055219</v>
      </c>
      <c r="F16" s="143">
        <f>C16*E16/$B$13/1000</f>
        <v>865.53999372250246</v>
      </c>
      <c r="G16" s="625">
        <f>(B16+'Caché - Congestion'!D25)*E16</f>
        <v>883.49149714754924</v>
      </c>
      <c r="H16" s="53">
        <f>G16*'Clés de répartition'!B50*'Clés de répartition'!D134</f>
        <v>544315993.47437644</v>
      </c>
      <c r="I16" s="20">
        <f>H16/$B$13/1000</f>
        <v>1151.5684351915979</v>
      </c>
    </row>
    <row r="17" spans="1:9">
      <c r="A17" s="19" t="s">
        <v>71</v>
      </c>
      <c r="B17" s="53">
        <f>Fonctions!O3*'Privé - Temps'!$B$11</f>
        <v>747.19822646730017</v>
      </c>
      <c r="C17" s="54">
        <f>B17*'Clés de répartition'!B51*'Clés de répartition'!D135</f>
        <v>859691.37144024088</v>
      </c>
      <c r="D17" s="155">
        <f>Fonctions!V3*'Privé - Temps'!$B$11</f>
        <v>728.87366719135741</v>
      </c>
      <c r="E17" s="16">
        <f t="shared" si="1"/>
        <v>0.97547563869017739</v>
      </c>
      <c r="F17" s="143">
        <f t="shared" ref="F17:F51" si="2">C17*E17/$B$13/1000</f>
        <v>1.7741798917126141</v>
      </c>
      <c r="G17" s="625">
        <f>B17+'Caché - Congestion'!D26</f>
        <v>847.8716836550185</v>
      </c>
      <c r="H17" s="53">
        <f>G17*'Clés de répartition'!B51*'Clés de répartition'!D135</f>
        <v>975521.54797389405</v>
      </c>
      <c r="I17" s="20">
        <f t="shared" ref="I17:I51" si="3">H17/$B$13/1000</f>
        <v>2.0638376163181129</v>
      </c>
    </row>
    <row r="18" spans="1:9">
      <c r="A18" s="19" t="s">
        <v>72</v>
      </c>
      <c r="B18" s="53">
        <f>Fonctions!O4*'Privé - Temps'!$B$11</f>
        <v>846.47172346113916</v>
      </c>
      <c r="C18" s="54">
        <f>B18*'Clés de répartition'!B52*'Clés de répartition'!D136</f>
        <v>5971123.234144181</v>
      </c>
      <c r="D18" s="155">
        <f>Fonctions!V4*'Privé - Temps'!$B$11</f>
        <v>826.10995955425369</v>
      </c>
      <c r="E18" s="16">
        <f t="shared" si="1"/>
        <v>0.97594513396900229</v>
      </c>
      <c r="F18" s="143">
        <f t="shared" si="2"/>
        <v>12.328779758723648</v>
      </c>
      <c r="G18" s="625">
        <f>B18+'Caché - Congestion'!D27</f>
        <v>1014.0889874302291</v>
      </c>
      <c r="H18" s="53">
        <f>G18*'Clés de répartition'!B52*'Clés de répartition'!D136</f>
        <v>7153517.5322514828</v>
      </c>
      <c r="I18" s="20">
        <f t="shared" si="3"/>
        <v>15.134159366049001</v>
      </c>
    </row>
    <row r="19" spans="1:9">
      <c r="A19" s="19" t="s">
        <v>73</v>
      </c>
      <c r="B19" s="53">
        <f>Fonctions!O5*'Privé - Temps'!$B$11</f>
        <v>567.50220290208279</v>
      </c>
      <c r="C19" s="54">
        <f>B19*'Clés de répartition'!B53*'Clés de répartition'!D137</f>
        <v>6112318.8897324773</v>
      </c>
      <c r="D19" s="155">
        <f>Fonctions!V5*'Privé - Temps'!$B$11</f>
        <v>555.80722685907369</v>
      </c>
      <c r="E19" s="16">
        <f t="shared" si="1"/>
        <v>0.97939219269422473</v>
      </c>
      <c r="F19" s="143">
        <f t="shared" si="2"/>
        <v>12.664886400734758</v>
      </c>
      <c r="G19" s="625">
        <f>B19+'Caché - Congestion'!D28</f>
        <v>809.50683941598572</v>
      </c>
      <c r="H19" s="53">
        <f>G19*'Clés de répartition'!B53*'Clés de répartition'!D137</f>
        <v>8718845.3553610072</v>
      </c>
      <c r="I19" s="20">
        <f t="shared" si="3"/>
        <v>18.445805787301847</v>
      </c>
    </row>
    <row r="20" spans="1:9">
      <c r="A20" s="19" t="s">
        <v>74</v>
      </c>
      <c r="B20" s="53">
        <f>Fonctions!O6*'Privé - Temps'!$B$11</f>
        <v>773.233085361196</v>
      </c>
      <c r="C20" s="54">
        <f>B20*'Clés de répartition'!B54*'Clés de répartition'!D138</f>
        <v>16483177.883636517</v>
      </c>
      <c r="D20" s="155">
        <f>Fonctions!V6*'Privé - Temps'!$B$11</f>
        <v>755.58784020182372</v>
      </c>
      <c r="E20" s="16">
        <f t="shared" si="1"/>
        <v>0.97717991444826791</v>
      </c>
      <c r="F20" s="143">
        <f t="shared" si="2"/>
        <v>34.07643347412575</v>
      </c>
      <c r="G20" s="625">
        <f>B20+'Caché - Congestion'!D29</f>
        <v>997.90610685598335</v>
      </c>
      <c r="H20" s="53">
        <f>G20*'Clés de répartition'!B54*'Clés de répartition'!D138</f>
        <v>21272581.556427833</v>
      </c>
      <c r="I20" s="20">
        <f t="shared" si="3"/>
        <v>45.004801896519012</v>
      </c>
    </row>
    <row r="21" spans="1:9">
      <c r="A21" s="19" t="s">
        <v>293</v>
      </c>
      <c r="B21" s="53">
        <f>Fonctions!O7*'Privé - Temps'!$B$11</f>
        <v>678.47837249347458</v>
      </c>
      <c r="C21" s="54">
        <f>B21*'Clés de répartition'!B55*'Clés de répartition'!D139</f>
        <v>5882259.3034665994</v>
      </c>
      <c r="D21" s="155">
        <f>Fonctions!V7*'Privé - Temps'!$B$11</f>
        <v>662.60675418633241</v>
      </c>
      <c r="E21" s="16">
        <f t="shared" si="1"/>
        <v>0.97660703870513599</v>
      </c>
      <c r="F21" s="143">
        <f t="shared" si="2"/>
        <v>12.15353657587449</v>
      </c>
      <c r="G21" s="625">
        <f>B21+'Caché - Congestion'!D30</f>
        <v>825.87836661323092</v>
      </c>
      <c r="H21" s="53">
        <f>G21*'Clés de répartition'!B55*'Clés de répartition'!D139</f>
        <v>7160185.058941138</v>
      </c>
      <c r="I21" s="20">
        <f t="shared" si="3"/>
        <v>15.148265351117702</v>
      </c>
    </row>
    <row r="22" spans="1:9">
      <c r="A22" s="19" t="s">
        <v>76</v>
      </c>
      <c r="B22" s="53">
        <f>Fonctions!O8*'Privé - Temps'!$B$11</f>
        <v>466.20199383783665</v>
      </c>
      <c r="C22" s="54">
        <f>B22*'Clés de répartition'!B56*'Clés de répartition'!D140</f>
        <v>888159.53908146627</v>
      </c>
      <c r="D22" s="155">
        <f>Fonctions!V8*'Privé - Temps'!$B$11</f>
        <v>456.46095038722888</v>
      </c>
      <c r="E22" s="16">
        <f t="shared" si="1"/>
        <v>0.97910553026507197</v>
      </c>
      <c r="F22" s="143">
        <f t="shared" si="2"/>
        <v>1.8397514131445585</v>
      </c>
      <c r="G22" s="625">
        <f>B22+'Caché - Congestion'!D31</f>
        <v>644.79282080608732</v>
      </c>
      <c r="H22" s="53">
        <f>G22*'Clés de répartition'!B56*'Clés de répartition'!D140</f>
        <v>1228392.2035935633</v>
      </c>
      <c r="I22" s="20">
        <f t="shared" si="3"/>
        <v>2.5988170559981709</v>
      </c>
    </row>
    <row r="23" spans="1:9">
      <c r="A23" s="19" t="s">
        <v>77</v>
      </c>
      <c r="B23" s="53">
        <f>Fonctions!O9*'Privé - Temps'!$B$11</f>
        <v>887.45618655059582</v>
      </c>
      <c r="C23" s="54">
        <f>B23*'Clés de répartition'!B57*'Clés de répartition'!D141</f>
        <v>7695646.2307575019</v>
      </c>
      <c r="D23" s="155">
        <f>Fonctions!V9*'Privé - Temps'!$B$11</f>
        <v>866.30884173582422</v>
      </c>
      <c r="E23" s="16">
        <f t="shared" si="1"/>
        <v>0.97617082946148803</v>
      </c>
      <c r="F23" s="143">
        <f t="shared" si="2"/>
        <v>15.893135189940171</v>
      </c>
      <c r="G23" s="625">
        <f>B23+'Caché - Congestion'!D32</f>
        <v>1073.2283435456632</v>
      </c>
      <c r="H23" s="53">
        <f>G23*'Clés de répartition'!B57*'Clés de répartition'!D141</f>
        <v>9306584.124283893</v>
      </c>
      <c r="I23" s="20">
        <f t="shared" si="3"/>
        <v>19.689240524741408</v>
      </c>
    </row>
    <row r="24" spans="1:9">
      <c r="A24" s="19" t="s">
        <v>79</v>
      </c>
      <c r="B24" s="53">
        <f>Fonctions!O10*'Privé - Temps'!$B$11</f>
        <v>675.48662261092102</v>
      </c>
      <c r="C24" s="54">
        <f>B24*'Clés de répartition'!B58*'Clés de répartition'!D142</f>
        <v>355195514.84968102</v>
      </c>
      <c r="D24" s="155">
        <f>Fonctions!V10*'Privé - Temps'!$B$11</f>
        <v>660.88425289620318</v>
      </c>
      <c r="E24" s="16">
        <f t="shared" si="1"/>
        <v>0.97838244426177368</v>
      </c>
      <c r="F24" s="143">
        <f t="shared" si="2"/>
        <v>735.21571511573097</v>
      </c>
      <c r="G24" s="625">
        <f>B24+'Caché - Congestion'!D33</f>
        <v>906.48475734341866</v>
      </c>
      <c r="H24" s="53">
        <f>G24*'Clés de répartition'!B58*'Clés de répartition'!D142</f>
        <v>476662763.27346784</v>
      </c>
      <c r="I24" s="20">
        <f t="shared" si="3"/>
        <v>1008.4395810478244</v>
      </c>
    </row>
    <row r="25" spans="1:9">
      <c r="A25" s="19" t="s">
        <v>80</v>
      </c>
      <c r="B25" s="53">
        <f>Fonctions!O11*'Privé - Temps'!$B$11</f>
        <v>764.63166524121289</v>
      </c>
      <c r="C25" s="54">
        <f>B25*'Clés de répartition'!B59*'Clés de répartition'!D143</f>
        <v>1449327.2310551233</v>
      </c>
      <c r="D25" s="155">
        <f>Fonctions!V11*'Privé - Temps'!$B$11</f>
        <v>747.85561034483703</v>
      </c>
      <c r="E25" s="16">
        <f t="shared" si="1"/>
        <v>0.97805995270796997</v>
      </c>
      <c r="F25" s="143">
        <f t="shared" si="2"/>
        <v>2.9989593973755886</v>
      </c>
      <c r="G25" s="625">
        <f>B25+'Caché - Congestion'!D34</f>
        <v>1011.5943374273756</v>
      </c>
      <c r="H25" s="53">
        <f>G25*'Clés de répartition'!B59*'Clés de répartition'!D143</f>
        <v>1917434.6115422132</v>
      </c>
      <c r="I25" s="20">
        <f t="shared" si="3"/>
        <v>4.0565722882802264</v>
      </c>
    </row>
    <row r="26" spans="1:9">
      <c r="A26" s="19" t="s">
        <v>81</v>
      </c>
      <c r="B26" s="53">
        <f>Fonctions!O12*'Privé - Temps'!$B$11</f>
        <v>710.07475269977692</v>
      </c>
      <c r="C26" s="54">
        <f>B26*'Clés de répartition'!B60*'Clés de répartition'!D144</f>
        <v>1045306.9523406932</v>
      </c>
      <c r="D26" s="155">
        <f>Fonctions!V12*'Privé - Temps'!$B$11</f>
        <v>694.94004820238354</v>
      </c>
      <c r="E26" s="16">
        <f t="shared" si="1"/>
        <v>0.97868575887278109</v>
      </c>
      <c r="F26" s="143">
        <f t="shared" si="2"/>
        <v>2.1643413895765122</v>
      </c>
      <c r="G26" s="625">
        <f>B26+'Caché - Congestion'!D35</f>
        <v>934.66541630439554</v>
      </c>
      <c r="H26" s="53">
        <f>G26*'Clés de répartition'!B60*'Clés de répartition'!D144</f>
        <v>1375928.7371656187</v>
      </c>
      <c r="I26" s="20">
        <f t="shared" si="3"/>
        <v>2.9109490108479639</v>
      </c>
    </row>
    <row r="27" spans="1:9">
      <c r="A27" s="19" t="s">
        <v>78</v>
      </c>
      <c r="B27" s="53">
        <f>Fonctions!O13*'Privé - Temps'!$B$11</f>
        <v>560.56166162094178</v>
      </c>
      <c r="C27" s="54">
        <f>B27*'Clés de répartition'!B61*'Clés de répartition'!D145</f>
        <v>3337999.0328546963</v>
      </c>
      <c r="D27" s="155">
        <f>Fonctions!V13*'Privé - Temps'!$B$11</f>
        <v>548.47022298321508</v>
      </c>
      <c r="E27" s="16">
        <f t="shared" si="1"/>
        <v>0.97842977951299304</v>
      </c>
      <c r="F27" s="143">
        <f t="shared" si="2"/>
        <v>6.9096257636039962</v>
      </c>
      <c r="G27" s="625">
        <f>B27+'Caché - Congestion'!D36</f>
        <v>708.03486605602859</v>
      </c>
      <c r="H27" s="53">
        <f>G27*'Clés de répartition'!B61*'Clés de répartition'!D145</f>
        <v>4216163.6443139408</v>
      </c>
      <c r="I27" s="20">
        <f t="shared" si="3"/>
        <v>8.9198205244778777</v>
      </c>
    </row>
    <row r="28" spans="1:9">
      <c r="A28" s="19" t="s">
        <v>82</v>
      </c>
      <c r="B28" s="53">
        <f>Fonctions!O14*'Privé - Temps'!$B$11</f>
        <v>636.62314126865397</v>
      </c>
      <c r="C28" s="54">
        <f>B28*'Clés de répartition'!B62*'Clés de répartition'!D146</f>
        <v>8824878.5532101095</v>
      </c>
      <c r="D28" s="155">
        <f>Fonctions!V14*'Privé - Temps'!$B$11</f>
        <v>621.87104336050515</v>
      </c>
      <c r="E28" s="16">
        <f t="shared" si="1"/>
        <v>0.97682758141849657</v>
      </c>
      <c r="F28" s="143">
        <f t="shared" si="2"/>
        <v>18.237500134693207</v>
      </c>
      <c r="G28" s="625">
        <f>B28+'Caché - Congestion'!D37</f>
        <v>768.34796712894627</v>
      </c>
      <c r="H28" s="53">
        <f>G28*'Clés de répartition'!B62*'Clés de répartition'!D146</f>
        <v>10650849.862300921</v>
      </c>
      <c r="I28" s="20">
        <f t="shared" si="3"/>
        <v>22.533202508163853</v>
      </c>
    </row>
    <row r="29" spans="1:9">
      <c r="A29" s="19" t="s">
        <v>83</v>
      </c>
      <c r="B29" s="53">
        <f>Fonctions!O15*'Privé - Temps'!$B$11</f>
        <v>900.78697809153255</v>
      </c>
      <c r="C29" s="54">
        <f>B29*'Clés de répartition'!B63*'Clés de répartition'!D147</f>
        <v>2007875.6934633886</v>
      </c>
      <c r="D29" s="155">
        <f>Fonctions!V15*'Privé - Temps'!$B$11</f>
        <v>878.57945165294404</v>
      </c>
      <c r="E29" s="16">
        <f t="shared" si="1"/>
        <v>0.97534652811518341</v>
      </c>
      <c r="F29" s="143">
        <f t="shared" si="2"/>
        <v>4.1431859161571936</v>
      </c>
      <c r="G29" s="625">
        <f>B29+'Caché - Congestion'!D38</f>
        <v>1013.7921839398647</v>
      </c>
      <c r="H29" s="53">
        <f>G29*'Clés de répartition'!B63*'Clés de répartition'!D147</f>
        <v>2259766.9969305182</v>
      </c>
      <c r="I29" s="20">
        <f t="shared" si="3"/>
        <v>4.7808191854560942</v>
      </c>
    </row>
    <row r="30" spans="1:9">
      <c r="A30" s="19" t="s">
        <v>84</v>
      </c>
      <c r="B30" s="53">
        <f>Fonctions!O16*'Privé - Temps'!$B$11</f>
        <v>1189.6515104810921</v>
      </c>
      <c r="C30" s="54">
        <f>B30*'Clés de répartition'!B64*'Clés de répartition'!D148</f>
        <v>542525.92069105629</v>
      </c>
      <c r="D30" s="155">
        <f>Fonctions!V16*'Privé - Temps'!$B$11</f>
        <v>1159.3353872232565</v>
      </c>
      <c r="E30" s="16">
        <f t="shared" si="1"/>
        <v>0.97451680345820269</v>
      </c>
      <c r="F30" s="143">
        <f t="shared" si="2"/>
        <v>1.1185321759706204</v>
      </c>
      <c r="G30" s="625">
        <f>B30+'Caché - Congestion'!D39</f>
        <v>1321.3104900036678</v>
      </c>
      <c r="H30" s="53">
        <f>G30*'Clés de répartition'!B64*'Clés de répartition'!D148</f>
        <v>602567.37691031897</v>
      </c>
      <c r="I30" s="20">
        <f t="shared" si="3"/>
        <v>1.2748065088019263</v>
      </c>
    </row>
    <row r="31" spans="1:9">
      <c r="A31" s="19" t="s">
        <v>85</v>
      </c>
      <c r="B31" s="53">
        <f>Fonctions!O17*'Privé - Temps'!$B$11</f>
        <v>476.23642313910744</v>
      </c>
      <c r="C31" s="54">
        <f>B31*'Clés de répartition'!B65*'Clés de répartition'!D149</f>
        <v>2310544.7533543222</v>
      </c>
      <c r="D31" s="155">
        <f>Fonctions!V17*'Privé - Temps'!$B$11</f>
        <v>466.37079644443043</v>
      </c>
      <c r="E31" s="16">
        <f t="shared" si="1"/>
        <v>0.97928418278121643</v>
      </c>
      <c r="F31" s="143">
        <f t="shared" si="2"/>
        <v>4.7869818602092975</v>
      </c>
      <c r="G31" s="625">
        <f>B31+'Caché - Congestion'!D40</f>
        <v>660.68495000071209</v>
      </c>
      <c r="H31" s="53">
        <f>G31*'Clés de répartition'!B65*'Clés de répartition'!D149</f>
        <v>3205429.2168207574</v>
      </c>
      <c r="I31" s="20">
        <f t="shared" si="3"/>
        <v>6.7814856656521796</v>
      </c>
    </row>
    <row r="32" spans="1:9">
      <c r="A32" s="107" t="s">
        <v>585</v>
      </c>
      <c r="B32" s="582"/>
      <c r="C32" s="582"/>
      <c r="D32" s="158"/>
      <c r="E32" s="106"/>
      <c r="F32" s="106"/>
      <c r="G32" s="626"/>
      <c r="H32" s="582"/>
      <c r="I32" s="582"/>
    </row>
    <row r="33" spans="1:9">
      <c r="A33" s="597" t="s">
        <v>154</v>
      </c>
      <c r="B33" s="53">
        <f>Fonctions!O19*'Privé - Temps'!$B$11</f>
        <v>647.09501650522634</v>
      </c>
      <c r="C33" s="54">
        <f>B33*'Clés de répartition'!B67*'Clés de répartition'!D151</f>
        <v>25748434.054221306</v>
      </c>
      <c r="D33" s="155">
        <f>Fonctions!V19*'Privé - Temps'!$B$11</f>
        <v>633.34546264522737</v>
      </c>
      <c r="E33" s="16">
        <f t="shared" ref="E33:E51" si="4">D33/B33</f>
        <v>0.9787518779942761</v>
      </c>
      <c r="F33" s="143">
        <f t="shared" si="2"/>
        <v>53.316555845875705</v>
      </c>
      <c r="G33" s="625">
        <f>B33+'Caché - Congestion'!D42</f>
        <v>875.15093855663542</v>
      </c>
      <c r="H33" s="53">
        <f>G33*'Clés de répartition'!B67*'Clés de répartition'!D151</f>
        <v>34822963.636180952</v>
      </c>
      <c r="I33" s="20">
        <f t="shared" si="3"/>
        <v>73.67232678078301</v>
      </c>
    </row>
    <row r="34" spans="1:9">
      <c r="A34" s="597" t="s">
        <v>155</v>
      </c>
      <c r="B34" s="53">
        <f>Fonctions!O20*'Privé - Temps'!$B$11</f>
        <v>700.87255344446498</v>
      </c>
      <c r="C34" s="54">
        <f>B34*'Clés de répartition'!B68*'Clés de répartition'!D152</f>
        <v>9597451.3367785569</v>
      </c>
      <c r="D34" s="155">
        <f>Fonctions!V20*'Privé - Temps'!$B$11</f>
        <v>685.59052071092469</v>
      </c>
      <c r="E34" s="16">
        <f t="shared" si="4"/>
        <v>0.97819570382884002</v>
      </c>
      <c r="F34" s="143">
        <f t="shared" si="2"/>
        <v>19.861878771776937</v>
      </c>
      <c r="G34" s="625">
        <f>B34+'Caché - Congestion'!D43</f>
        <v>988.08468247791291</v>
      </c>
      <c r="H34" s="53">
        <f>G34*'Clés de répartition'!B68*'Clés de répartition'!D152</f>
        <v>13530412.355417587</v>
      </c>
      <c r="I34" s="20">
        <f t="shared" si="3"/>
        <v>28.625276439463608</v>
      </c>
    </row>
    <row r="35" spans="1:9">
      <c r="A35" s="597" t="s">
        <v>156</v>
      </c>
      <c r="B35" s="53">
        <f>Fonctions!O21*'Privé - Temps'!$B$11</f>
        <v>553.56789588768027</v>
      </c>
      <c r="C35" s="54">
        <f>B35*'Clés de répartition'!B69*'Clés de répartition'!D153</f>
        <v>24089325.964496035</v>
      </c>
      <c r="D35" s="155">
        <f>Fonctions!V21*'Privé - Temps'!$B$11</f>
        <v>541.82649274556798</v>
      </c>
      <c r="E35" s="16">
        <f t="shared" si="4"/>
        <v>0.97878958799934701</v>
      </c>
      <c r="F35" s="143">
        <f t="shared" si="2"/>
        <v>49.883009391767914</v>
      </c>
      <c r="G35" s="625">
        <f>B35+'Caché - Congestion'!D44</f>
        <v>738.0282200661768</v>
      </c>
      <c r="H35" s="53">
        <f>G35*'Clés de répartition'!B69*'Clés de répartition'!D153</f>
        <v>32116389.870590061</v>
      </c>
      <c r="I35" s="20">
        <f t="shared" si="3"/>
        <v>67.94623209802802</v>
      </c>
    </row>
    <row r="36" spans="1:9">
      <c r="A36" s="597" t="s">
        <v>403</v>
      </c>
      <c r="B36" s="53">
        <f>Fonctions!O22*'Privé - Temps'!$B$11</f>
        <v>913.1113209320298</v>
      </c>
      <c r="C36" s="54">
        <f>B36*'Clés de répartition'!B70*'Clés de répartition'!D154</f>
        <v>8090621.1139736027</v>
      </c>
      <c r="D36" s="155">
        <f>Fonctions!V22*'Privé - Temps'!$B$11</f>
        <v>892.17950010756431</v>
      </c>
      <c r="E36" s="16">
        <f t="shared" si="4"/>
        <v>0.97707637574452588</v>
      </c>
      <c r="F36" s="143">
        <f t="shared" si="2"/>
        <v>16.724341744406555</v>
      </c>
      <c r="G36" s="625">
        <f>B36+'Caché - Congestion'!D45</f>
        <v>1134.2514614648767</v>
      </c>
      <c r="H36" s="53">
        <f>G36*'Clés de répartition'!B70*'Clés de répartition'!D154</f>
        <v>10050032.906520331</v>
      </c>
      <c r="I36" s="20">
        <f t="shared" si="3"/>
        <v>21.2620992337799</v>
      </c>
    </row>
    <row r="37" spans="1:9">
      <c r="A37" s="597" t="s">
        <v>168</v>
      </c>
      <c r="B37" s="53">
        <f>Fonctions!O23*'Privé - Temps'!$B$11</f>
        <v>710.20635774599691</v>
      </c>
      <c r="C37" s="54">
        <f>B37*'Clés de répartition'!B71*'Clés de répartition'!D155</f>
        <v>13904423.049268</v>
      </c>
      <c r="D37" s="155">
        <f>Fonctions!V23*'Privé - Temps'!$B$11</f>
        <v>694.59753580928918</v>
      </c>
      <c r="E37" s="16">
        <f t="shared" si="4"/>
        <v>0.97802213150239048</v>
      </c>
      <c r="F37" s="143">
        <f t="shared" si="2"/>
        <v>28.77002984455293</v>
      </c>
      <c r="G37" s="625">
        <f>B37+'Caché - Congestion'!D46</f>
        <v>926.92397730529967</v>
      </c>
      <c r="H37" s="53">
        <f>G37*'Clés de répartition'!B71*'Clés de répartition'!D155</f>
        <v>18147321.513520513</v>
      </c>
      <c r="I37" s="20">
        <f t="shared" si="3"/>
        <v>38.392924126392408</v>
      </c>
    </row>
    <row r="38" spans="1:9">
      <c r="A38" s="597" t="s">
        <v>167</v>
      </c>
      <c r="B38" s="53">
        <f>Fonctions!O24*'Privé - Temps'!$B$11</f>
        <v>642.00488842356765</v>
      </c>
      <c r="C38" s="54">
        <f>B38*'Clés de répartition'!B72*'Clés de répartition'!D156</f>
        <v>20526643.310348026</v>
      </c>
      <c r="D38" s="155">
        <f>Fonctions!V24*'Privé - Temps'!$B$11</f>
        <v>627.47851166589828</v>
      </c>
      <c r="E38" s="16">
        <f t="shared" si="4"/>
        <v>0.97737341721285231</v>
      </c>
      <c r="F38" s="143">
        <f t="shared" si="2"/>
        <v>42.444079126845686</v>
      </c>
      <c r="G38" s="625">
        <f>B38+'Caché - Congestion'!D47</f>
        <v>817.55679717434407</v>
      </c>
      <c r="H38" s="53">
        <f>G38*'Clés de répartition'!B72*'Clés de répartition'!D156</f>
        <v>26139515.545988265</v>
      </c>
      <c r="I38" s="20">
        <f t="shared" si="3"/>
        <v>55.301408326847508</v>
      </c>
    </row>
    <row r="39" spans="1:9">
      <c r="A39" s="597" t="s">
        <v>170</v>
      </c>
      <c r="B39" s="53">
        <f>Fonctions!O25*'Privé - Temps'!$B$11</f>
        <v>660.03216133984404</v>
      </c>
      <c r="C39" s="54">
        <f>B39*'Clés de répartition'!B73*'Clés de répartition'!D157</f>
        <v>27914744.635655612</v>
      </c>
      <c r="D39" s="155">
        <f>Fonctions!V25*'Privé - Temps'!$B$11</f>
        <v>645.96417035293655</v>
      </c>
      <c r="E39" s="16">
        <f t="shared" si="4"/>
        <v>0.97868590076224482</v>
      </c>
      <c r="F39" s="143">
        <f t="shared" si="2"/>
        <v>57.798377613731155</v>
      </c>
      <c r="G39" s="625">
        <f>B39+'Caché - Congestion'!D48</f>
        <v>915.93200759955801</v>
      </c>
      <c r="H39" s="53">
        <f>G39*'Clés de répartition'!B73*'Clés de répartition'!D157</f>
        <v>38737518.553433523</v>
      </c>
      <c r="I39" s="20">
        <f t="shared" si="3"/>
        <v>81.954056391111521</v>
      </c>
    </row>
    <row r="40" spans="1:9">
      <c r="A40" s="597" t="s">
        <v>171</v>
      </c>
      <c r="B40" s="53">
        <f>Fonctions!O26*'Privé - Temps'!$B$11</f>
        <v>672.48499157437129</v>
      </c>
      <c r="C40" s="54">
        <f>B40*'Clés de répartition'!B74*'Clés de répartition'!D158</f>
        <v>17727905.998409621</v>
      </c>
      <c r="D40" s="155">
        <f>Fonctions!V26*'Privé - Temps'!$B$11</f>
        <v>658.38105521554246</v>
      </c>
      <c r="E40" s="16">
        <f t="shared" si="4"/>
        <v>0.97902713586840096</v>
      </c>
      <c r="F40" s="143">
        <f t="shared" si="2"/>
        <v>36.718998429254711</v>
      </c>
      <c r="G40" s="625">
        <f>B40+'Caché - Congestion'!D49</f>
        <v>930.85433346491277</v>
      </c>
      <c r="H40" s="53">
        <f>G40*'Clés de répartition'!B74*'Clés de répartition'!D158</f>
        <v>24538983.514330547</v>
      </c>
      <c r="I40" s="20">
        <f t="shared" si="3"/>
        <v>51.915283007608892</v>
      </c>
    </row>
    <row r="41" spans="1:9">
      <c r="A41" s="597" t="s">
        <v>172</v>
      </c>
      <c r="B41" s="53">
        <f>Fonctions!O27*'Privé - Temps'!$B$11</f>
        <v>530.90275883166782</v>
      </c>
      <c r="C41" s="54">
        <f>B41*'Clés de répartition'!B75*'Clés de répartition'!D159</f>
        <v>2445827.5581146269</v>
      </c>
      <c r="D41" s="155">
        <f>Fonctions!V27*'Privé - Temps'!$B$11</f>
        <v>520.04776997085639</v>
      </c>
      <c r="E41" s="16">
        <f t="shared" si="4"/>
        <v>0.9795537154775773</v>
      </c>
      <c r="F41" s="143">
        <f t="shared" si="2"/>
        <v>5.0686551808372613</v>
      </c>
      <c r="G41" s="625">
        <f>B41+'Caché - Congestion'!D50</f>
        <v>696.4781338324982</v>
      </c>
      <c r="H41" s="53">
        <f>G41*'Clés de répartition'!B75*'Clés de répartition'!D159</f>
        <v>3208620.3829501765</v>
      </c>
      <c r="I41" s="20">
        <f t="shared" si="3"/>
        <v>6.7882369759758667</v>
      </c>
    </row>
    <row r="42" spans="1:9">
      <c r="A42" s="597" t="s">
        <v>173</v>
      </c>
      <c r="B42" s="53">
        <f>Fonctions!O28*'Privé - Temps'!$B$11</f>
        <v>807.94246663528065</v>
      </c>
      <c r="C42" s="54">
        <f>B42*'Clés de répartition'!B76*'Clés de répartition'!D160</f>
        <v>24930325.066139907</v>
      </c>
      <c r="D42" s="155">
        <f>Fonctions!V28*'Privé - Temps'!$B$11</f>
        <v>789.60266819142328</v>
      </c>
      <c r="E42" s="16">
        <f t="shared" si="4"/>
        <v>0.97730061334659823</v>
      </c>
      <c r="F42" s="143">
        <f t="shared" si="2"/>
        <v>51.545976285837412</v>
      </c>
      <c r="G42" s="625">
        <f>B42+'Caché - Congestion'!D51</f>
        <v>1039.8643297317096</v>
      </c>
      <c r="H42" s="53">
        <f>G42*'Clés de répartition'!B76*'Clés de répartition'!D160</f>
        <v>32086635.912155651</v>
      </c>
      <c r="I42" s="20">
        <f t="shared" si="3"/>
        <v>67.883283884553038</v>
      </c>
    </row>
    <row r="43" spans="1:9">
      <c r="A43" s="597" t="s">
        <v>350</v>
      </c>
      <c r="B43" s="53">
        <f>Fonctions!O29*'Privé - Temps'!$B$11</f>
        <v>653.08948094877712</v>
      </c>
      <c r="C43" s="54">
        <f>B43*'Clés de répartition'!B77*'Clés de répartition'!D161</f>
        <v>13113901.371280989</v>
      </c>
      <c r="D43" s="155">
        <f>Fonctions!V29*'Privé - Temps'!$B$11</f>
        <v>639.54426078500501</v>
      </c>
      <c r="E43" s="16">
        <f t="shared" si="4"/>
        <v>0.97925977900594219</v>
      </c>
      <c r="F43" s="143">
        <f t="shared" si="2"/>
        <v>27.1686767853265</v>
      </c>
      <c r="G43" s="625">
        <f>B43+'Caché - Congestion'!D52</f>
        <v>853.37266973459111</v>
      </c>
      <c r="H43" s="53">
        <f>G43*'Clés de répartition'!B77*'Clés de répartition'!D161</f>
        <v>17135546.277040567</v>
      </c>
      <c r="I43" s="20">
        <f t="shared" si="3"/>
        <v>36.252387306223319</v>
      </c>
    </row>
    <row r="44" spans="1:9">
      <c r="A44" s="597" t="s">
        <v>174</v>
      </c>
      <c r="B44" s="53">
        <f>Fonctions!O30*'Privé - Temps'!$B$11</f>
        <v>855.54596956886348</v>
      </c>
      <c r="C44" s="54">
        <f>B44*'Clés de répartition'!B78*'Clés de répartition'!D162</f>
        <v>37772992.518679902</v>
      </c>
      <c r="D44" s="155">
        <f>Fonctions!V30*'Privé - Temps'!$B$11</f>
        <v>836.40570238987527</v>
      </c>
      <c r="E44" s="16">
        <f t="shared" si="4"/>
        <v>0.97762800847669984</v>
      </c>
      <c r="F44" s="143">
        <f t="shared" si="2"/>
        <v>78.125657432650357</v>
      </c>
      <c r="G44" s="625">
        <f>B44+'Caché - Congestion'!D53</f>
        <v>1162.1493078328142</v>
      </c>
      <c r="H44" s="53">
        <f>G44*'Clés de répartition'!B78*'Clés de répartition'!D162</f>
        <v>51309758.530543275</v>
      </c>
      <c r="I44" s="20">
        <f t="shared" si="3"/>
        <v>108.5521995485109</v>
      </c>
    </row>
    <row r="45" spans="1:9">
      <c r="A45" s="597" t="s">
        <v>175</v>
      </c>
      <c r="B45" s="53">
        <f>Fonctions!O31*'Privé - Temps'!$B$11</f>
        <v>639.68941728914342</v>
      </c>
      <c r="C45" s="54">
        <f>B45*'Clés de répartition'!B79*'Clés de répartition'!D163</f>
        <v>23228440.255723856</v>
      </c>
      <c r="D45" s="155">
        <f>Fonctions!V31*'Privé - Temps'!$B$11</f>
        <v>626.42033199202501</v>
      </c>
      <c r="E45" s="16">
        <f t="shared" si="4"/>
        <v>0.97925698794057003</v>
      </c>
      <c r="F45" s="143">
        <f t="shared" si="2"/>
        <v>48.123298243590781</v>
      </c>
      <c r="G45" s="625">
        <f>B45+'Caché - Congestion'!D54</f>
        <v>897.30708027980779</v>
      </c>
      <c r="H45" s="53">
        <f>G45*'Clés de répartition'!B79*'Clés de répartition'!D163</f>
        <v>32583068.192132283</v>
      </c>
      <c r="I45" s="20">
        <f t="shared" si="3"/>
        <v>68.933548346161587</v>
      </c>
    </row>
    <row r="46" spans="1:9">
      <c r="A46" s="597" t="s">
        <v>176</v>
      </c>
      <c r="B46" s="53">
        <f>Fonctions!O32*'Privé - Temps'!$B$11</f>
        <v>618.81743399332606</v>
      </c>
      <c r="C46" s="54">
        <f>B46*'Clés de répartition'!B80*'Clés de répartition'!D164</f>
        <v>21480863.718574025</v>
      </c>
      <c r="D46" s="155">
        <f>Fonctions!V32*'Privé - Temps'!$B$11</f>
        <v>605.37308943957771</v>
      </c>
      <c r="E46" s="16">
        <f t="shared" si="4"/>
        <v>0.97827413415457631</v>
      </c>
      <c r="F46" s="143">
        <f t="shared" si="2"/>
        <v>44.458107087770706</v>
      </c>
      <c r="G46" s="625">
        <f>B46+'Caché - Congestion'!D55</f>
        <v>813.32610043274394</v>
      </c>
      <c r="H46" s="53">
        <f>G46*'Clés de répartition'!B80*'Clés de répartition'!D164</f>
        <v>28232797.207105588</v>
      </c>
      <c r="I46" s="20">
        <f t="shared" si="3"/>
        <v>59.730007000793364</v>
      </c>
    </row>
    <row r="47" spans="1:9">
      <c r="A47" s="597" t="s">
        <v>177</v>
      </c>
      <c r="B47" s="53">
        <f>Fonctions!O33*'Privé - Temps'!$B$11</f>
        <v>643.27398496301009</v>
      </c>
      <c r="C47" s="54">
        <f>B47*'Clés de répartition'!B81*'Clés de répartition'!D165</f>
        <v>17617284.341046415</v>
      </c>
      <c r="D47" s="155">
        <f>Fonctions!V33*'Privé - Temps'!$B$11</f>
        <v>629.66904172685236</v>
      </c>
      <c r="E47" s="16">
        <f t="shared" si="4"/>
        <v>0.97885046876730131</v>
      </c>
      <c r="F47" s="143">
        <f t="shared" si="2"/>
        <v>36.483288205889842</v>
      </c>
      <c r="G47" s="625">
        <f>B47+'Caché - Congestion'!D56</f>
        <v>924.25392299772659</v>
      </c>
      <c r="H47" s="53">
        <f>G47*'Clés de répartition'!B81*'Clés de répartition'!D165</f>
        <v>25312455.57165641</v>
      </c>
      <c r="I47" s="20">
        <f t="shared" si="3"/>
        <v>53.551659703126838</v>
      </c>
    </row>
    <row r="48" spans="1:9">
      <c r="A48" s="597" t="s">
        <v>351</v>
      </c>
      <c r="B48" s="53">
        <f>Fonctions!O34*'Privé - Temps'!$B$11</f>
        <v>680.25290174925692</v>
      </c>
      <c r="C48" s="54">
        <f>B48*'Clés de répartition'!B82*'Clés de répartition'!D166</f>
        <v>14414851.180708015</v>
      </c>
      <c r="D48" s="155">
        <f>Fonctions!V34*'Privé - Temps'!$B$11</f>
        <v>665.19095654531679</v>
      </c>
      <c r="E48" s="16">
        <f t="shared" si="4"/>
        <v>0.97785831539239509</v>
      </c>
      <c r="F48" s="143">
        <f t="shared" si="2"/>
        <v>29.821175134432654</v>
      </c>
      <c r="G48" s="625">
        <f>B48+'Caché - Congestion'!D57</f>
        <v>883.36523458631734</v>
      </c>
      <c r="H48" s="53">
        <f>G48*'Clés de répartition'!B82*'Clés de répartition'!D166</f>
        <v>18718888.757444244</v>
      </c>
      <c r="I48" s="20">
        <f t="shared" si="3"/>
        <v>39.602145983885023</v>
      </c>
    </row>
    <row r="49" spans="1:10">
      <c r="A49" s="597" t="s">
        <v>856</v>
      </c>
      <c r="B49" s="53">
        <f>Fonctions!O35*'Privé - Temps'!$B$11</f>
        <v>713.96768193625189</v>
      </c>
      <c r="C49" s="54">
        <f>B49*'Clés de répartition'!B83*'Clés de répartition'!D167</f>
        <v>13936204.853413712</v>
      </c>
      <c r="D49" s="155">
        <f>Fonctions!V35*'Privé - Temps'!$B$11</f>
        <v>698.0742544680711</v>
      </c>
      <c r="E49" s="16">
        <f t="shared" si="4"/>
        <v>0.9777392900683145</v>
      </c>
      <c r="F49" s="143">
        <f t="shared" si="2"/>
        <v>28.827451227698425</v>
      </c>
      <c r="G49" s="625">
        <f>B49+'Caché - Congestion'!D58</f>
        <v>932.7906713468418</v>
      </c>
      <c r="H49" s="53">
        <f>G49*'Clés de répartition'!B83*'Clés de répartition'!D167</f>
        <v>18207493.434420723</v>
      </c>
      <c r="I49" s="20">
        <f t="shared" si="3"/>
        <v>38.520225336763311</v>
      </c>
    </row>
    <row r="50" spans="1:10">
      <c r="A50" s="597" t="s">
        <v>178</v>
      </c>
      <c r="B50" s="53">
        <f>Fonctions!O36*'Privé - Temps'!$B$11</f>
        <v>630.52479118121016</v>
      </c>
      <c r="C50" s="54">
        <f>B50*'Clés de répartition'!B84*'Clés de répartition'!D168</f>
        <v>16377302.757110948</v>
      </c>
      <c r="D50" s="155">
        <f>Fonctions!V36*'Privé - Temps'!$B$11</f>
        <v>617.06992946289745</v>
      </c>
      <c r="E50" s="16">
        <f t="shared" si="4"/>
        <v>0.97866085218773602</v>
      </c>
      <c r="F50" s="143">
        <f t="shared" si="2"/>
        <v>33.908864813633684</v>
      </c>
      <c r="G50" s="625">
        <f>B50+'Caché - Congestion'!D59</f>
        <v>822.54918406490026</v>
      </c>
      <c r="H50" s="53">
        <f>G50*'Clés de répartition'!B84*'Clés de répartition'!D168</f>
        <v>21364960.122835048</v>
      </c>
      <c r="I50" s="20">
        <f t="shared" si="3"/>
        <v>45.200240286054054</v>
      </c>
    </row>
    <row r="51" spans="1:10">
      <c r="A51" s="597" t="s">
        <v>179</v>
      </c>
      <c r="B51" s="53">
        <f>Fonctions!O37*'Privé - Temps'!$B$11</f>
        <v>649.20888536278062</v>
      </c>
      <c r="C51" s="54">
        <f>B51*'Clés de répartition'!B85*'Clés de répartition'!D169</f>
        <v>22709307.08409385</v>
      </c>
      <c r="D51" s="155">
        <f>Fonctions!V37*'Privé - Temps'!$B$11</f>
        <v>635.35669932518942</v>
      </c>
      <c r="E51" s="16">
        <f t="shared" si="4"/>
        <v>0.9786629752766699</v>
      </c>
      <c r="F51" s="143">
        <f t="shared" si="2"/>
        <v>47.019250109237994</v>
      </c>
      <c r="G51" s="625">
        <f>B51+'Caché - Congestion'!D60</f>
        <v>875.16272387791491</v>
      </c>
      <c r="H51" s="53">
        <f>G51*'Clés de répartition'!B85*'Clés de répartition'!D169</f>
        <v>30613165.489855763</v>
      </c>
      <c r="I51" s="20">
        <f t="shared" si="3"/>
        <v>64.765973261952595</v>
      </c>
    </row>
    <row r="52" spans="1:10">
      <c r="A52" s="224"/>
      <c r="B52" s="224"/>
      <c r="C52" s="224"/>
      <c r="E52" s="224"/>
      <c r="F52" s="224"/>
      <c r="G52" s="224"/>
      <c r="J52" s="224"/>
    </row>
    <row r="53" spans="1:10">
      <c r="A53" s="23" t="s">
        <v>287</v>
      </c>
      <c r="B53" s="224"/>
      <c r="C53" s="224"/>
      <c r="D53" s="224"/>
      <c r="E53" s="224"/>
      <c r="F53" s="224"/>
      <c r="G53" s="224"/>
      <c r="J53" s="224"/>
    </row>
    <row r="54" spans="1:10">
      <c r="A54" s="62" t="s">
        <v>68</v>
      </c>
      <c r="B54" s="224"/>
      <c r="C54" s="224"/>
      <c r="D54" s="224"/>
      <c r="E54" s="224"/>
      <c r="F54" s="224"/>
      <c r="G54" s="224"/>
      <c r="J54" s="224"/>
    </row>
    <row r="55" spans="1:10">
      <c r="A55" s="23" t="s">
        <v>183</v>
      </c>
      <c r="B55" s="224"/>
      <c r="C55" s="224"/>
      <c r="D55" s="224"/>
      <c r="E55" s="224"/>
      <c r="F55" s="224"/>
      <c r="G55" s="224"/>
      <c r="J55" s="224"/>
    </row>
    <row r="56" spans="1:10">
      <c r="A56" s="62" t="s">
        <v>68</v>
      </c>
      <c r="B56" s="53"/>
      <c r="C56" s="53"/>
      <c r="D56" s="53"/>
      <c r="E56" s="53"/>
      <c r="F56" s="53"/>
      <c r="G56" s="53"/>
    </row>
    <row r="57" spans="1:10">
      <c r="A57" s="23" t="s">
        <v>184</v>
      </c>
    </row>
    <row r="58" spans="1:10">
      <c r="A58" s="45" t="s">
        <v>68</v>
      </c>
    </row>
    <row r="59" spans="1:10">
      <c r="A59" s="80" t="s">
        <v>790</v>
      </c>
      <c r="B59" s="23" t="s">
        <v>1059</v>
      </c>
    </row>
    <row r="60" spans="1:10">
      <c r="A60" s="45" t="s">
        <v>68</v>
      </c>
      <c r="B60" s="45" t="s">
        <v>68</v>
      </c>
    </row>
    <row r="61" spans="1:10">
      <c r="A61" s="23" t="s">
        <v>588</v>
      </c>
    </row>
    <row r="62" spans="1:10">
      <c r="A62" s="23" t="s">
        <v>700</v>
      </c>
      <c r="B62" s="63"/>
      <c r="C62" s="63"/>
    </row>
    <row r="63" spans="1:10">
      <c r="B63" s="63"/>
      <c r="C63" s="350"/>
    </row>
    <row r="64" spans="1:10">
      <c r="B64" s="63"/>
      <c r="C64" s="350"/>
    </row>
    <row r="65" spans="2:4">
      <c r="B65" s="63"/>
      <c r="C65" s="350"/>
      <c r="D65" s="358"/>
    </row>
    <row r="66" spans="2:4">
      <c r="B66" s="63"/>
      <c r="C66" s="350"/>
    </row>
    <row r="67" spans="2:4">
      <c r="B67" s="63"/>
      <c r="C67" s="350"/>
      <c r="D67" s="358"/>
    </row>
    <row r="68" spans="2:4">
      <c r="B68" s="63"/>
      <c r="C68" s="350"/>
      <c r="D68" s="358"/>
    </row>
    <row r="69" spans="2:4">
      <c r="B69" s="63"/>
      <c r="C69" s="350"/>
      <c r="D69" s="358"/>
    </row>
    <row r="70" spans="2:4">
      <c r="B70" s="63"/>
      <c r="C70" s="350"/>
      <c r="D70" s="358"/>
    </row>
    <row r="71" spans="2:4">
      <c r="B71" s="63"/>
      <c r="C71" s="350"/>
      <c r="D71" s="358"/>
    </row>
    <row r="72" spans="2:4">
      <c r="B72" s="63"/>
      <c r="C72" s="350"/>
      <c r="D72" s="358"/>
    </row>
    <row r="73" spans="2:4">
      <c r="B73" s="63"/>
      <c r="C73" s="350"/>
      <c r="D73" s="358"/>
    </row>
    <row r="74" spans="2:4">
      <c r="B74" s="63"/>
      <c r="C74" s="350"/>
      <c r="D74" s="358"/>
    </row>
    <row r="75" spans="2:4">
      <c r="B75" s="63"/>
      <c r="C75" s="350"/>
      <c r="D75" s="358"/>
    </row>
    <row r="76" spans="2:4">
      <c r="B76" s="63"/>
      <c r="C76" s="350"/>
      <c r="D76" s="358"/>
    </row>
    <row r="77" spans="2:4">
      <c r="B77" s="63"/>
      <c r="C77" s="350"/>
      <c r="D77" s="358"/>
    </row>
    <row r="78" spans="2:4">
      <c r="B78" s="63"/>
      <c r="C78" s="350"/>
      <c r="D78" s="358"/>
    </row>
    <row r="79" spans="2:4">
      <c r="B79" s="63"/>
      <c r="C79" s="350"/>
      <c r="D79" s="358"/>
    </row>
    <row r="80" spans="2:4">
      <c r="B80" s="63"/>
      <c r="C80" s="350"/>
      <c r="D80" s="358"/>
    </row>
    <row r="81" spans="2:4">
      <c r="B81" s="63"/>
      <c r="C81" s="350"/>
      <c r="D81" s="358"/>
    </row>
    <row r="82" spans="2:4">
      <c r="B82" s="63"/>
      <c r="C82" s="350"/>
      <c r="D82" s="358"/>
    </row>
    <row r="83" spans="2:4">
      <c r="B83" s="63"/>
      <c r="C83" s="350"/>
      <c r="D83" s="358"/>
    </row>
    <row r="84" spans="2:4">
      <c r="B84" s="63"/>
      <c r="C84" s="350"/>
      <c r="D84" s="358"/>
    </row>
    <row r="85" spans="2:4">
      <c r="B85" s="63"/>
      <c r="C85" s="350"/>
      <c r="D85" s="358"/>
    </row>
    <row r="86" spans="2:4">
      <c r="D86" s="358"/>
    </row>
    <row r="87" spans="2:4">
      <c r="D87" s="358"/>
    </row>
    <row r="88" spans="2:4">
      <c r="D88" s="358"/>
    </row>
    <row r="89" spans="2:4">
      <c r="C89" s="359"/>
      <c r="D89" s="358"/>
    </row>
    <row r="90" spans="2:4">
      <c r="D90" s="358"/>
    </row>
    <row r="91" spans="2:4">
      <c r="C91" s="359"/>
      <c r="D91" s="358"/>
    </row>
    <row r="92" spans="2:4">
      <c r="D92" s="358"/>
    </row>
    <row r="93" spans="2:4">
      <c r="C93" s="359"/>
      <c r="D93" s="358"/>
    </row>
    <row r="94" spans="2:4">
      <c r="D94" s="358"/>
    </row>
    <row r="95" spans="2:4">
      <c r="C95" s="359"/>
      <c r="D95" s="358"/>
    </row>
    <row r="96" spans="2:4">
      <c r="D96" s="358"/>
    </row>
    <row r="97" spans="3:4">
      <c r="C97" s="359"/>
      <c r="D97" s="358"/>
    </row>
    <row r="98" spans="3:4">
      <c r="D98" s="358"/>
    </row>
    <row r="99" spans="3:4">
      <c r="D99" s="358"/>
    </row>
    <row r="100" spans="3:4">
      <c r="D100" s="358"/>
    </row>
    <row r="101" spans="3:4">
      <c r="D101" s="358"/>
    </row>
    <row r="102" spans="3:4">
      <c r="D102" s="358"/>
    </row>
    <row r="103" spans="3:4">
      <c r="D103" s="358"/>
    </row>
    <row r="104" spans="3:4">
      <c r="D104" s="358"/>
    </row>
    <row r="105" spans="3:4">
      <c r="D105" s="358"/>
    </row>
    <row r="106" spans="3:4">
      <c r="D106" s="358"/>
    </row>
    <row r="107" spans="3:4">
      <c r="D107" s="358"/>
    </row>
    <row r="108" spans="3:4">
      <c r="D108" s="358"/>
    </row>
    <row r="109" spans="3:4">
      <c r="D109" s="358"/>
    </row>
    <row r="113" spans="3:3">
      <c r="C113" s="358">
        <v>2060</v>
      </c>
    </row>
  </sheetData>
  <mergeCells count="1">
    <mergeCell ref="A4:D4"/>
  </mergeCells>
  <hyperlinks>
    <hyperlink ref="A54" r:id="rId1" xr:uid="{508634A2-2070-874A-A97E-776BFD9699D4}"/>
    <hyperlink ref="A56" r:id="rId2" xr:uid="{C642C907-1D55-7842-A656-B83A110218BA}"/>
    <hyperlink ref="A58" r:id="rId3" xr:uid="{E5A957F3-0332-B34C-B0B9-B5805B1B6F1B}"/>
    <hyperlink ref="A60" r:id="rId4" xr:uid="{7278A82D-8C3B-CE45-BDCB-22C59615C9C2}"/>
    <hyperlink ref="A1" location="'Table des matières'!A1" display="Retour à la Table des matières" xr:uid="{5770F9FC-475F-E641-BFF8-CE984A52AF3F}"/>
    <hyperlink ref="B60" r:id="rId5" xr:uid="{8CF216ED-E6EF-7548-84E9-D5FF52D640E3}"/>
  </hyperlinks>
  <pageMargins left="0.7" right="0.7" top="0.75" bottom="0.75" header="0.3" footer="0.3"/>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168469-42F2-CF4B-AF18-062338E7CAF2}">
  <sheetPr codeName="Sheet14"/>
  <dimension ref="A1:L63"/>
  <sheetViews>
    <sheetView zoomScaleNormal="100" workbookViewId="0">
      <selection activeCell="E25" sqref="E25"/>
    </sheetView>
  </sheetViews>
  <sheetFormatPr baseColWidth="10" defaultRowHeight="16"/>
  <cols>
    <col min="1" max="1" width="56.1640625" customWidth="1"/>
    <col min="2" max="2" width="21" customWidth="1"/>
    <col min="3" max="3" width="17.6640625" bestFit="1" customWidth="1"/>
    <col min="4" max="4" width="15" bestFit="1" customWidth="1"/>
    <col min="5" max="6" width="16.1640625" customWidth="1"/>
    <col min="7" max="7" width="18.5" customWidth="1"/>
    <col min="8" max="8" width="17.6640625" customWidth="1"/>
    <col min="11" max="11" width="14.33203125" bestFit="1" customWidth="1"/>
    <col min="12" max="12" width="13.1640625" customWidth="1"/>
  </cols>
  <sheetData>
    <row r="1" spans="1:11">
      <c r="A1" s="501" t="s">
        <v>841</v>
      </c>
    </row>
    <row r="2" spans="1:11" ht="26">
      <c r="A2" s="48" t="s">
        <v>143</v>
      </c>
      <c r="K2" s="314"/>
    </row>
    <row r="4" spans="1:11">
      <c r="A4" s="637" t="s">
        <v>1092</v>
      </c>
      <c r="B4" s="637"/>
      <c r="C4" s="637"/>
      <c r="D4" s="637"/>
      <c r="E4" s="637"/>
      <c r="F4" s="348"/>
      <c r="K4" s="54"/>
    </row>
    <row r="5" spans="1:11" ht="72" customHeight="1">
      <c r="A5" s="637"/>
      <c r="B5" s="637"/>
      <c r="C5" s="637"/>
      <c r="D5" s="637"/>
      <c r="E5" s="637"/>
      <c r="F5" s="348"/>
    </row>
    <row r="6" spans="1:11" ht="32" customHeight="1" thickBot="1">
      <c r="A6" s="717" t="s">
        <v>596</v>
      </c>
      <c r="B6" s="715" t="s">
        <v>139</v>
      </c>
      <c r="C6" s="715"/>
      <c r="D6" s="716" t="s">
        <v>144</v>
      </c>
      <c r="E6" s="716"/>
      <c r="F6" s="363"/>
    </row>
    <row r="7" spans="1:11">
      <c r="A7" s="717"/>
      <c r="B7" s="1">
        <v>2008</v>
      </c>
      <c r="C7" s="1">
        <v>2023</v>
      </c>
      <c r="D7" s="1">
        <v>2008</v>
      </c>
      <c r="E7" s="1">
        <v>2023</v>
      </c>
      <c r="F7" s="1"/>
    </row>
    <row r="8" spans="1:11">
      <c r="A8" s="19" t="s">
        <v>145</v>
      </c>
      <c r="B8" s="68">
        <f>877.6*0.9*1000000</f>
        <v>789840000</v>
      </c>
      <c r="C8" s="68">
        <f>B8*$B$16</f>
        <v>1105776000</v>
      </c>
      <c r="D8" s="112">
        <f>877600000*0.04</f>
        <v>35104000</v>
      </c>
      <c r="E8" s="68">
        <f>D8*$B$16</f>
        <v>49145600</v>
      </c>
      <c r="F8" s="68"/>
      <c r="G8" s="377"/>
      <c r="H8" s="53"/>
    </row>
    <row r="9" spans="1:11">
      <c r="A9" s="19" t="s">
        <v>148</v>
      </c>
      <c r="B9" s="68">
        <v>47200000</v>
      </c>
      <c r="C9" s="68">
        <f>B9*$B$16</f>
        <v>66079999.999999993</v>
      </c>
      <c r="D9" s="68">
        <v>500000</v>
      </c>
      <c r="E9" s="68">
        <f>D9*$B$16</f>
        <v>700000</v>
      </c>
      <c r="F9" s="68"/>
    </row>
    <row r="10" spans="1:11">
      <c r="A10" s="19" t="s">
        <v>146</v>
      </c>
      <c r="B10" s="68">
        <f>38973000*0.89</f>
        <v>34685970</v>
      </c>
      <c r="C10" s="68">
        <f>B10*$B$16</f>
        <v>48560358</v>
      </c>
      <c r="D10" s="68">
        <f>38973000*0.024</f>
        <v>935352</v>
      </c>
      <c r="E10" s="68">
        <f>D10*$B$16</f>
        <v>1309492.7999999998</v>
      </c>
      <c r="F10" s="68"/>
    </row>
    <row r="11" spans="1:11">
      <c r="A11" s="19" t="s">
        <v>147</v>
      </c>
      <c r="B11" s="68">
        <f>23884000*(39647/44912)</f>
        <v>21084096.633416459</v>
      </c>
      <c r="C11" s="68">
        <f>B11*$B$16</f>
        <v>29517735.28678304</v>
      </c>
      <c r="D11" s="68">
        <f>23884000*(324/44912)</f>
        <v>172301.74563591022</v>
      </c>
      <c r="E11" s="68">
        <f>D11*$B$16</f>
        <v>241222.4438902743</v>
      </c>
      <c r="F11" s="68"/>
    </row>
    <row r="12" spans="1:11">
      <c r="A12" s="19" t="s">
        <v>40</v>
      </c>
      <c r="B12" s="112">
        <f>SUM(B8:B11)</f>
        <v>892810066.63341641</v>
      </c>
      <c r="C12" s="386">
        <f>SUM(C8:C11)</f>
        <v>1249934093.286783</v>
      </c>
      <c r="D12" s="112">
        <f t="shared" ref="D12:E12" si="0">SUM(D8:D11)</f>
        <v>36711653.745635912</v>
      </c>
      <c r="E12" s="386">
        <f t="shared" si="0"/>
        <v>51396315.243890271</v>
      </c>
      <c r="F12" s="113"/>
      <c r="I12" s="375"/>
    </row>
    <row r="13" spans="1:11">
      <c r="A13" s="19" t="s">
        <v>1061</v>
      </c>
      <c r="B13" s="54">
        <f>B12*(1-'Clés de répartition'!B299)*'Clés de répartition'!B297/(B17*B18)</f>
        <v>827.66628652224767</v>
      </c>
      <c r="C13" s="54">
        <f>C12*(1-'Clés de répartition'!B299)*'Clés de répartition'!B297/('Clés de répartition'!G50*'Clés de répartition'!D134)</f>
        <v>1239.6861573064612</v>
      </c>
      <c r="D13" s="54">
        <f>'Clés de répartition'!$F$255*'Clés de répartition'!$F$269*D12/(D17*B18)</f>
        <v>71.106473023119008</v>
      </c>
      <c r="E13" s="59">
        <f>'Clés de répartition'!$F$255*'Clés de répartition'!$F$269*E12/('Clés de répartition'!H50*'Clés de répartition'!D134)</f>
        <v>57.237326414306992</v>
      </c>
      <c r="F13" s="54"/>
    </row>
    <row r="14" spans="1:11">
      <c r="A14" s="385" t="s">
        <v>681</v>
      </c>
      <c r="B14" s="54"/>
      <c r="C14" s="54"/>
      <c r="D14" s="54"/>
      <c r="E14" s="59"/>
      <c r="F14" s="54"/>
    </row>
    <row r="15" spans="1:11">
      <c r="A15" s="19" t="s">
        <v>595</v>
      </c>
      <c r="B15" s="220"/>
      <c r="C15" s="98" cm="1">
        <f t="array" ref="C15">IF(Bienvenue!G11=1,INDEX(F25:F40,Bienvenue!G10,1),INDEX(F42:F60,Bienvenue!G11-1,1))</f>
        <v>2053.8338069208912</v>
      </c>
      <c r="D15" s="220"/>
      <c r="E15" s="220"/>
      <c r="F15" s="220"/>
    </row>
    <row r="16" spans="1:11">
      <c r="A16" s="19" t="s">
        <v>149</v>
      </c>
      <c r="B16">
        <v>1.4</v>
      </c>
      <c r="C16" s="4"/>
    </row>
    <row r="17" spans="1:12" ht="17">
      <c r="A17" s="66" t="s">
        <v>341</v>
      </c>
      <c r="B17" s="16">
        <v>0.56100000000000005</v>
      </c>
      <c r="C17" s="16">
        <f>'Clés de répartition'!B50</f>
        <v>0.45831435649576474</v>
      </c>
      <c r="D17" s="16">
        <v>0.254</v>
      </c>
      <c r="E17" s="16">
        <f>'Clés de répartition'!H50</f>
        <v>0.38611849208153137</v>
      </c>
      <c r="F17" s="16"/>
    </row>
    <row r="18" spans="1:12" ht="16" customHeight="1">
      <c r="A18" s="19" t="s">
        <v>342</v>
      </c>
      <c r="B18" s="21">
        <f>1876895*'Clés de répartition'!C134</f>
        <v>1174936.27</v>
      </c>
    </row>
    <row r="19" spans="1:12">
      <c r="B19" s="179"/>
      <c r="C19" s="20"/>
    </row>
    <row r="20" spans="1:12">
      <c r="A20" s="718" t="s">
        <v>150</v>
      </c>
      <c r="B20" s="718"/>
      <c r="C20" s="718"/>
      <c r="D20" s="19" t="s">
        <v>823</v>
      </c>
      <c r="E20">
        <v>2000</v>
      </c>
    </row>
    <row r="21" spans="1:12" ht="17">
      <c r="A21" s="26" t="s">
        <v>68</v>
      </c>
      <c r="B21" s="23"/>
    </row>
    <row r="22" spans="1:12">
      <c r="A22" s="64"/>
      <c r="C22" s="52"/>
    </row>
    <row r="23" spans="1:12" ht="18" customHeight="1">
      <c r="A23" s="64"/>
      <c r="B23" s="703" t="s">
        <v>10</v>
      </c>
      <c r="C23" s="703"/>
      <c r="D23" s="703"/>
      <c r="E23" s="703"/>
      <c r="F23" s="703"/>
    </row>
    <row r="24" spans="1:12" ht="51">
      <c r="A24" s="306" t="s">
        <v>652</v>
      </c>
      <c r="B24" s="138" t="s">
        <v>592</v>
      </c>
      <c r="C24" s="349" t="s">
        <v>591</v>
      </c>
      <c r="D24" s="138" t="s">
        <v>147</v>
      </c>
      <c r="E24" s="138" t="s">
        <v>698</v>
      </c>
      <c r="F24" s="79" t="s">
        <v>40</v>
      </c>
      <c r="G24" s="138" t="s">
        <v>699</v>
      </c>
      <c r="K24" s="114"/>
      <c r="L24" s="114"/>
    </row>
    <row r="25" spans="1:12" ht="17">
      <c r="A25" s="298" t="s">
        <v>202</v>
      </c>
      <c r="B25" s="20">
        <f>('Clés de répartition'!J93-'Clés de répartition'!B93)/('Clés de répartition'!G50-$E$20*'Clés de répartition'!G7/'Clés de répartition'!D134)*('Clés de répartition'!B50-$E$20*'Clés de répartition'!G7/'Clés de répartition'!D134)+'Clés de répartition'!B93</f>
        <v>31.44840950485942</v>
      </c>
      <c r="C25" s="155">
        <f>(B25-'Clés de répartition'!B93)/60*2*'Privé - Temps'!$B$11*'Privé - Temps'!$B$10*'Privé - Temps'!$B$12</f>
        <v>1501.4901079249887</v>
      </c>
      <c r="D25" s="53">
        <f>Fonctions!R2*'Privé - Temps'!$B$11-'Caché - GES'!B16</f>
        <v>224.32447747473384</v>
      </c>
      <c r="E25" s="54">
        <f>Fonctions!S2*'Privé - Temps'!$B$11*'Privé - Achat&amp;Utilisation'!$B$14-'Privé - Achat&amp;Utilisation'!C65</f>
        <v>328.01922152116867</v>
      </c>
      <c r="F25" s="59">
        <f t="shared" ref="F25:F40" si="1">SUM(C25:E25)</f>
        <v>2053.8338069208912</v>
      </c>
      <c r="G25" s="54">
        <f>F25*'Clés de répartition'!B50*'Clés de répartition'!D134</f>
        <v>1265359760.2860718</v>
      </c>
      <c r="H25" s="54"/>
      <c r="I25" s="54"/>
      <c r="K25" s="20"/>
      <c r="L25" s="20"/>
    </row>
    <row r="26" spans="1:12">
      <c r="A26" s="19" t="s">
        <v>71</v>
      </c>
      <c r="B26" s="20">
        <f>('Clés de répartition'!J94-'Clés de répartition'!B94)/('Clés de répartition'!G51-$E$20*'Clés de répartition'!G8/'Clés de répartition'!D135)*('Clés de répartition'!B51-$E$20*'Clés de répartition'!G8/'Clés de répartition'!D135)+'Clés de répartition'!B94</f>
        <v>22.811613984459701</v>
      </c>
      <c r="C26" s="155">
        <f>(B26-'Clés de répartition'!B94)/60*2*'Privé - Temps'!$B$11*'Privé - Temps'!$B$10*'Privé - Temps'!$B$12</f>
        <v>808.78603884173685</v>
      </c>
      <c r="D26" s="53">
        <f>Fonctions!R3*'Privé - Temps'!$B$11-'Caché - GES'!B17</f>
        <v>100.67345718771833</v>
      </c>
      <c r="E26" s="54">
        <f>Fonctions!S3*'Privé - Temps'!$B$11*'Privé - Achat&amp;Utilisation'!$B$14-'Privé - Achat&amp;Utilisation'!C66</f>
        <v>149.20042108809685</v>
      </c>
      <c r="F26" s="59">
        <f t="shared" si="1"/>
        <v>1058.6599171175521</v>
      </c>
      <c r="G26" s="54">
        <f>F26*'Clés de répartition'!B51*'Clés de répartition'!D135</f>
        <v>1218044.641699146</v>
      </c>
      <c r="H26" s="366"/>
      <c r="K26" s="20"/>
      <c r="L26" s="20"/>
    </row>
    <row r="27" spans="1:12">
      <c r="A27" s="19" t="s">
        <v>72</v>
      </c>
      <c r="B27" s="20">
        <f>('Clés de répartition'!J95-'Clés de répartition'!B95)/('Clés de répartition'!G52-$E$20*'Clés de répartition'!G9/'Clés de répartition'!D136)*('Clés de répartition'!B52-$E$20*'Clés de répartition'!G9/'Clés de répartition'!D136)+'Clés de répartition'!B95</f>
        <v>29.5853865230583</v>
      </c>
      <c r="C27" s="155">
        <f>(B27-'Clés de répartition'!B95)/60*2*'Privé - Temps'!$B$11*'Privé - Temps'!$B$10*'Privé - Temps'!$B$12</f>
        <v>1267.0990279212883</v>
      </c>
      <c r="D27" s="53">
        <f>Fonctions!R4*'Privé - Temps'!$B$11-'Caché - GES'!B18</f>
        <v>167.61726396908989</v>
      </c>
      <c r="E27" s="54">
        <f>Fonctions!S4*'Privé - Temps'!$B$11*'Privé - Achat&amp;Utilisation'!$B$14-'Privé - Achat&amp;Utilisation'!C67</f>
        <v>247.25626764539629</v>
      </c>
      <c r="F27" s="59">
        <f t="shared" si="1"/>
        <v>1681.9725595357745</v>
      </c>
      <c r="G27" s="54">
        <f>F27*'Clés de répartition'!B52*'Clés de répartition'!D136</f>
        <v>11864856.380991796</v>
      </c>
      <c r="H27" s="54"/>
      <c r="K27" s="20"/>
      <c r="L27" s="20"/>
    </row>
    <row r="28" spans="1:12">
      <c r="A28" s="19" t="s">
        <v>73</v>
      </c>
      <c r="B28" s="20">
        <f>('Clés de répartition'!J96-'Clés de répartition'!B96)/('Clés de répartition'!G53-$E$20*'Clés de répartition'!G10/'Clés de répartition'!D137)*('Clés de répartition'!B53-$E$20*'Clés de répartition'!G10/'Clés de répartition'!D137)+'Clés de répartition'!B96</f>
        <v>30.994028434131</v>
      </c>
      <c r="C28" s="155">
        <f>(B28-'Clés de répartition'!B96)/60*2*'Privé - Temps'!$B$11*'Privé - Temps'!$B$10*'Privé - Temps'!$B$12</f>
        <v>1563.5797122408869</v>
      </c>
      <c r="D28" s="53">
        <f>Fonctions!R5*'Privé - Temps'!$B$11-'Caché - GES'!B19</f>
        <v>242.00463651390294</v>
      </c>
      <c r="E28" s="54">
        <f>Fonctions!S5*'Privé - Temps'!$B$11*'Privé - Achat&amp;Utilisation'!$B$14-'Privé - Achat&amp;Utilisation'!C68</f>
        <v>352.95064567011832</v>
      </c>
      <c r="F28" s="59">
        <f t="shared" si="1"/>
        <v>2158.5349944249083</v>
      </c>
      <c r="G28" s="54">
        <f>F28*'Clés de répartition'!B53*'Clés de répartition'!D137</f>
        <v>23248639.658317581</v>
      </c>
      <c r="H28" s="54"/>
      <c r="K28" s="20"/>
      <c r="L28" s="20"/>
    </row>
    <row r="29" spans="1:12">
      <c r="A29" s="19" t="s">
        <v>74</v>
      </c>
      <c r="B29" s="20">
        <f>('Clés de répartition'!J97-'Clés de répartition'!B97)/('Clés de répartition'!G54-$E$20*'Clés de répartition'!G11/'Clés de répartition'!D138)*('Clés de répartition'!B54-$E$20*'Clés de répartition'!G11/'Clés de répartition'!D138)+'Clés de répartition'!B97</f>
        <v>32.533615969837697</v>
      </c>
      <c r="C29" s="155">
        <f>(B29-'Clés de répartition'!B97)/60*2*'Privé - Temps'!$B$11*'Privé - Temps'!$B$10*'Privé - Temps'!$B$12</f>
        <v>1567.383157843148</v>
      </c>
      <c r="D29" s="53">
        <f>Fonctions!R6*'Privé - Temps'!$B$11-'Caché - GES'!B20</f>
        <v>224.67302149478735</v>
      </c>
      <c r="E29" s="54">
        <f>Fonctions!S6*'Privé - Temps'!$B$11*'Privé - Achat&amp;Utilisation'!$B$14-'Privé - Achat&amp;Utilisation'!C69</f>
        <v>329.49107944713205</v>
      </c>
      <c r="F29" s="59">
        <f t="shared" si="1"/>
        <v>2121.5472587850672</v>
      </c>
      <c r="G29" s="54">
        <f>F29*'Clés de répartition'!B54*'Clés de répartition'!D138</f>
        <v>45225484.420083284</v>
      </c>
      <c r="K29" s="20"/>
      <c r="L29" s="20"/>
    </row>
    <row r="30" spans="1:12">
      <c r="A30" s="19" t="s">
        <v>293</v>
      </c>
      <c r="B30" s="20">
        <f>('Clés de répartition'!J98-'Clés de répartition'!B98)/('Clés de répartition'!G55-$E$20*'Clés de répartition'!G12/'Clés de répartition'!D139)*('Clés de répartition'!B55-$E$20*'Clés de répartition'!G12/'Clés de répartition'!D139)+'Clés de répartition'!B98</f>
        <v>25.0962541874013</v>
      </c>
      <c r="C30" s="155">
        <f>(B30-'Clés de répartition'!B98)/60*2*'Privé - Temps'!$B$11*'Privé - Temps'!$B$10*'Privé - Temps'!$B$12</f>
        <v>1072.132546167865</v>
      </c>
      <c r="D30" s="53">
        <f>Fonctions!R7*'Privé - Temps'!$B$11-'Caché - GES'!B21</f>
        <v>147.39999411975634</v>
      </c>
      <c r="E30" s="54">
        <f>Fonctions!S7*'Privé - Temps'!$B$11*'Privé - Achat&amp;Utilisation'!$B$14-'Privé - Achat&amp;Utilisation'!C70</f>
        <v>216.81729813273932</v>
      </c>
      <c r="F30" s="59">
        <f t="shared" si="1"/>
        <v>1436.3498384203608</v>
      </c>
      <c r="G30" s="54">
        <f>F30*'Clés de répartition'!B55*'Clés de répartition'!D139</f>
        <v>12452839.386803262</v>
      </c>
      <c r="K30" s="20"/>
      <c r="L30" s="20"/>
    </row>
    <row r="31" spans="1:12">
      <c r="A31" s="19" t="s">
        <v>76</v>
      </c>
      <c r="B31" s="20">
        <f>('Clés de répartition'!J99-'Clés de répartition'!B99)/('Clés de répartition'!G56-$E$20*'Clés de répartition'!G13/'Clés de répartition'!D140)*('Clés de répartition'!B56-$E$20*'Clés de répartition'!G13/'Clés de répartition'!D140)+'Clés de répartition'!B99</f>
        <v>23.958632299370802</v>
      </c>
      <c r="C31" s="155">
        <f>(B31-'Clés de répartition'!B99)/60*2*'Privé - Temps'!$B$11*'Privé - Temps'!$B$10*'Privé - Temps'!$B$12</f>
        <v>1163.1344059314818</v>
      </c>
      <c r="D31" s="53">
        <f>Fonctions!R8*'Privé - Temps'!$B$11-'Caché - GES'!B22</f>
        <v>178.59082696825067</v>
      </c>
      <c r="E31" s="54">
        <f>Fonctions!S8*'Privé - Temps'!$B$11*'Privé - Achat&amp;Utilisation'!$B$14-'Privé - Achat&amp;Utilisation'!C71</f>
        <v>260.62810909326254</v>
      </c>
      <c r="F31" s="59">
        <f t="shared" si="1"/>
        <v>1602.353341992995</v>
      </c>
      <c r="G31" s="54">
        <f>F31*'Clés de répartition'!B56*'Clés de répartition'!D140</f>
        <v>3052636.8923363532</v>
      </c>
      <c r="K31" s="20"/>
      <c r="L31" s="20"/>
    </row>
    <row r="32" spans="1:12">
      <c r="A32" s="19" t="s">
        <v>77</v>
      </c>
      <c r="B32" s="20">
        <f>('Clés de répartition'!J100-'Clés de répartition'!B100)/('Clés de répartition'!G57-$E$20*'Clés de répartition'!G14/'Clés de répartition'!D141)*('Clés de répartition'!B57-$E$20*'Clés de répartition'!G14/'Clés de répartition'!D141)+'Clés de répartition'!B100</f>
        <v>31.870659229185801</v>
      </c>
      <c r="C32" s="155">
        <f>(B32-'Clés de répartition'!B100)/60*2*'Privé - Temps'!$B$11*'Privé - Temps'!$B$10*'Privé - Temps'!$B$12</f>
        <v>1382.6389253807317</v>
      </c>
      <c r="D32" s="53">
        <f>Fonctions!R9*'Privé - Temps'!$B$11-'Caché - GES'!B23</f>
        <v>185.77215699506735</v>
      </c>
      <c r="E32" s="54">
        <f>Fonctions!S9*'Privé - Temps'!$B$11*'Privé - Achat&amp;Utilisation'!$B$14-'Privé - Achat&amp;Utilisation'!C72</f>
        <v>273.72014306271967</v>
      </c>
      <c r="F32" s="59">
        <f t="shared" si="1"/>
        <v>1842.1312254385189</v>
      </c>
      <c r="G32" s="54">
        <f>F32*'Clés de répartition'!B57*'Clés de répartition'!D141</f>
        <v>15974186.034702243</v>
      </c>
      <c r="K32" s="20"/>
      <c r="L32" s="20"/>
    </row>
    <row r="33" spans="1:12">
      <c r="A33" s="19" t="s">
        <v>79</v>
      </c>
      <c r="B33" s="20">
        <f>('Clés de répartition'!J101-'Clés de répartition'!B101)/('Clés de répartition'!G58-$E$20*'Clés de répartition'!G15/'Clés de répartition'!D142)*('Clés de répartition'!B58-$E$20*'Clés de répartition'!G15/'Clés de répartition'!D142)+'Clés de répartition'!B101</f>
        <v>31.940462420488736</v>
      </c>
      <c r="C33" s="155">
        <f>(B33-'Clés de répartition'!B101)/60*2*'Privé - Temps'!$B$11*'Privé - Temps'!$B$10*'Privé - Temps'!$B$12</f>
        <v>1537.8068965510095</v>
      </c>
      <c r="D33" s="53">
        <f>Fonctions!R10*'Privé - Temps'!$B$11-'Caché - GES'!B24</f>
        <v>230.99813473249765</v>
      </c>
      <c r="E33" s="54">
        <f>Fonctions!S10*'Privé - Temps'!$B$11*'Privé - Achat&amp;Utilisation'!$B$14-'Privé - Achat&amp;Utilisation'!C73</f>
        <v>337.64744059023428</v>
      </c>
      <c r="F33" s="59">
        <f t="shared" si="1"/>
        <v>2106.4524718737412</v>
      </c>
      <c r="G33" s="54">
        <f>F33*'Clés de répartition'!B58*'Clés de répartition'!D142</f>
        <v>1107649574.7045162</v>
      </c>
      <c r="K33" s="20"/>
      <c r="L33" s="20"/>
    </row>
    <row r="34" spans="1:12">
      <c r="A34" s="19" t="s">
        <v>80</v>
      </c>
      <c r="B34" s="20">
        <f>('Clés de répartition'!J102-'Clés de répartition'!B102)/('Clés de répartition'!G59-$E$20*'Clés de répartition'!G16/'Clés de répartition'!D143)*('Clés de répartition'!B59-$E$20*'Clés de répartition'!G16/'Clés de répartition'!D143)+'Clés de répartition'!B102</f>
        <v>34.812199405965998</v>
      </c>
      <c r="C34" s="155">
        <f>(B34-'Clés de répartition'!B102)/60*2*'Privé - Temps'!$B$11*'Privé - Temps'!$B$10*'Privé - Temps'!$B$12</f>
        <v>1663.6078191452646</v>
      </c>
      <c r="D34" s="53">
        <f>Fonctions!R11*'Privé - Temps'!$B$11-'Caché - GES'!B25</f>
        <v>246.96267218616276</v>
      </c>
      <c r="E34" s="54">
        <f>Fonctions!S11*'Privé - Temps'!$B$11*'Privé - Achat&amp;Utilisation'!$B$14-'Privé - Achat&amp;Utilisation'!C74</f>
        <v>361.28525098450746</v>
      </c>
      <c r="F34" s="59">
        <f t="shared" si="1"/>
        <v>2271.8557423159345</v>
      </c>
      <c r="G34" s="54">
        <f>F34*'Clés de répartition'!B59*'Clés de répartition'!D143</f>
        <v>4306207.2132844804</v>
      </c>
      <c r="K34" s="434"/>
      <c r="L34" s="20"/>
    </row>
    <row r="35" spans="1:12">
      <c r="A35" s="19" t="s">
        <v>81</v>
      </c>
      <c r="B35" s="20">
        <f>('Clés de répartition'!J103-'Clés de répartition'!B103)/('Clés de répartition'!G60-$E$20*'Clés de répartition'!G17/'Clés de répartition'!D144)*('Clés de répartition'!B60-$E$20*'Clés de répartition'!G17/'Clés de répartition'!D144)+'Clés de répartition'!B103</f>
        <v>33.089639272226599</v>
      </c>
      <c r="C35" s="155">
        <f>(B35-'Clés de répartition'!B103)/60*2*'Privé - Temps'!$B$11*'Privé - Temps'!$B$10*'Privé - Temps'!$B$12</f>
        <v>1485.6996889817133</v>
      </c>
      <c r="D35" s="53">
        <f>Fonctions!R12*'Privé - Temps'!$B$11-'Caché - GES'!B26</f>
        <v>224.59066360461861</v>
      </c>
      <c r="E35" s="54">
        <f>Fonctions!S12*'Privé - Temps'!$B$11*'Privé - Achat&amp;Utilisation'!$B$14-'Privé - Achat&amp;Utilisation'!C75</f>
        <v>328.13578772188885</v>
      </c>
      <c r="F35" s="59">
        <f t="shared" si="1"/>
        <v>2038.4261403082207</v>
      </c>
      <c r="G35" s="54">
        <f>F35*'Clés de répartition'!B60*'Clés de répartition'!D144</f>
        <v>3000784.0839231941</v>
      </c>
      <c r="K35" s="20"/>
      <c r="L35" s="20"/>
    </row>
    <row r="36" spans="1:12">
      <c r="A36" s="19" t="s">
        <v>78</v>
      </c>
      <c r="B36" s="20">
        <f>('Clés de répartition'!J104-'Clés de répartition'!B104)/('Clés de répartition'!G61-$E$20*'Clés de répartition'!G18/'Clés de répartition'!D145)*('Clés de répartition'!B61-$E$20*'Clés de répartition'!G18/'Clés de répartition'!D145)+'Clés de répartition'!B104</f>
        <v>24.119899085209799</v>
      </c>
      <c r="C36" s="155">
        <f>(B36-'Clés de répartition'!B104)/60*2*'Privé - Temps'!$B$11*'Privé - Temps'!$B$10*'Privé - Temps'!$B$12</f>
        <v>988.87748288766477</v>
      </c>
      <c r="D36" s="53">
        <f>Fonctions!R13*'Privé - Temps'!$B$11-'Caché - GES'!B27</f>
        <v>147.47320443508681</v>
      </c>
      <c r="E36" s="54">
        <f>Fonctions!S13*'Privé - Temps'!$B$11*'Privé - Achat&amp;Utilisation'!$B$14-'Privé - Achat&amp;Utilisation'!C76</f>
        <v>215.67401550262161</v>
      </c>
      <c r="F36" s="59">
        <f t="shared" si="1"/>
        <v>1352.0247028253732</v>
      </c>
      <c r="G36" s="54">
        <f>F36*'Clés de répartition'!B61*'Clés de répartition'!D145</f>
        <v>8050955.7813437032</v>
      </c>
      <c r="K36" s="20"/>
      <c r="L36" s="20"/>
    </row>
    <row r="37" spans="1:12">
      <c r="A37" s="19" t="s">
        <v>82</v>
      </c>
      <c r="B37" s="20">
        <f>('Clés de répartition'!J105-'Clés de répartition'!B105)/('Clés de répartition'!G62-$E$20*'Clés de répartition'!G19/'Clés de répartition'!D146)*('Clés de répartition'!B62-$E$20*'Clés de répartition'!G19/'Clés de répartition'!D146)+'Clés de répartition'!B105</f>
        <v>23.381810728443199</v>
      </c>
      <c r="C37" s="155">
        <f>(B37-'Clés de répartition'!B105)/60*2*'Privé - Temps'!$B$11*'Privé - Temps'!$B$10*'Privé - Temps'!$B$12</f>
        <v>951.6735756078948</v>
      </c>
      <c r="D37" s="53">
        <f>Fonctions!R14*'Privé - Temps'!$B$11-'Caché - GES'!B28</f>
        <v>131.7248258602923</v>
      </c>
      <c r="E37" s="54">
        <f>Fonctions!S14*'Privé - Temps'!$B$11*'Privé - Achat&amp;Utilisation'!$B$14-'Privé - Achat&amp;Utilisation'!C77</f>
        <v>193.66590350487149</v>
      </c>
      <c r="F37" s="59">
        <f t="shared" si="1"/>
        <v>1277.0643049730586</v>
      </c>
      <c r="G37" s="54">
        <f>F37*'Clés de répartition'!B62*'Clés de répartition'!D146</f>
        <v>17702682.584815152</v>
      </c>
      <c r="K37" s="20"/>
      <c r="L37" s="20"/>
    </row>
    <row r="38" spans="1:12">
      <c r="A38" s="19" t="s">
        <v>83</v>
      </c>
      <c r="B38" s="20">
        <f>('Clés de répartition'!J106-'Clés de répartition'!B106)/('Clés de répartition'!G63-$E$20*'Clés de répartition'!G20/'Clés de répartition'!D147)*('Clés de répartition'!B63-$E$20*'Clés de répartition'!G20/'Clés de répartition'!D147)+'Clés de répartition'!B106</f>
        <v>26.835718533201199</v>
      </c>
      <c r="C38" s="155">
        <f>(B38-'Clés de répartition'!B106)/60*2*'Privé - Temps'!$B$11*'Privé - Temps'!$B$10*'Privé - Temps'!$B$12</f>
        <v>921.62882541970339</v>
      </c>
      <c r="D38" s="53">
        <f>Fonctions!R15*'Privé - Temps'!$B$11-'Caché - GES'!B29</f>
        <v>113.00520584833214</v>
      </c>
      <c r="E38" s="54">
        <f>Fonctions!S15*'Privé - Temps'!$B$11*'Privé - Achat&amp;Utilisation'!$B$14-'Privé - Achat&amp;Utilisation'!C78</f>
        <v>167.6758360642134</v>
      </c>
      <c r="F38" s="59">
        <f t="shared" si="1"/>
        <v>1202.3098673322488</v>
      </c>
      <c r="G38" s="54">
        <f>F38*'Clés de répartition'!B63*'Clés de répartition'!D147</f>
        <v>2679977.4167942158</v>
      </c>
      <c r="K38" s="20"/>
      <c r="L38" s="20"/>
    </row>
    <row r="39" spans="1:12">
      <c r="A39" s="19" t="s">
        <v>84</v>
      </c>
      <c r="B39" s="20">
        <f>('Clés de répartition'!J107-'Clés de répartition'!B107)/('Clés de répartition'!G64-$E$20*'Clés de répartition'!G21/'Clés de répartition'!D148)*('Clés de répartition'!B64-$E$20*'Clés de répartition'!G21/'Clés de répartition'!D148)+'Clés de répartition'!B107</f>
        <v>33.2380589653661</v>
      </c>
      <c r="C39" s="155">
        <f>(B39-'Clés de répartition'!B107)/60*2*'Privé - Temps'!$B$11*'Privé - Temps'!$B$10*'Privé - Temps'!$B$12</f>
        <v>1153.7206817185468</v>
      </c>
      <c r="D39" s="53">
        <f>Fonctions!R16*'Privé - Temps'!$B$11-'Caché - GES'!B30</f>
        <v>131.65897952257569</v>
      </c>
      <c r="E39" s="54">
        <f>Fonctions!S16*'Privé - Temps'!$B$11*'Privé - Achat&amp;Utilisation'!$B$14-'Privé - Achat&amp;Utilisation'!C79</f>
        <v>196.50830290959493</v>
      </c>
      <c r="F39" s="59">
        <f t="shared" si="1"/>
        <v>1481.8879641507174</v>
      </c>
      <c r="G39" s="54">
        <f>F39*'Clés de répartition'!B64*'Clés de répartition'!D148</f>
        <v>675796.7564692474</v>
      </c>
      <c r="K39" s="20"/>
      <c r="L39" s="20"/>
    </row>
    <row r="40" spans="1:12">
      <c r="A40" s="19" t="s">
        <v>85</v>
      </c>
      <c r="B40" s="20">
        <f>('Clés de répartition'!J108-'Clés de répartition'!B108)/('Clés de répartition'!G65-$E$20*'Clés de répartition'!G22/'Clés de répartition'!D149)*('Clés de répartition'!B65-$E$20*'Clés de répartition'!G22/'Clés de répartition'!D149)+'Clés de répartition'!B108</f>
        <v>24.834486913394802</v>
      </c>
      <c r="C40" s="155">
        <f>(B40-'Clés de répartition'!B108)/60*2*'Privé - Temps'!$B$11*'Privé - Temps'!$B$10*'Privé - Temps'!$B$12</f>
        <v>1196.2575868991769</v>
      </c>
      <c r="D40" s="53">
        <f>Fonctions!R17*'Privé - Temps'!$B$11-'Caché - GES'!B31</f>
        <v>184.44852686160465</v>
      </c>
      <c r="E40" s="54">
        <f>Fonctions!S17*'Privé - Temps'!$B$11*'Privé - Achat&amp;Utilisation'!$B$14-'Privé - Achat&amp;Utilisation'!C80</f>
        <v>269.0911084415909</v>
      </c>
      <c r="F40" s="59">
        <f t="shared" si="1"/>
        <v>1649.7972222023725</v>
      </c>
      <c r="G40" s="54">
        <f>F40*'Clés de répartition'!B65*'Clés de répartition'!D149</f>
        <v>8004281.3414646592</v>
      </c>
      <c r="K40" s="20"/>
      <c r="L40" s="20"/>
    </row>
    <row r="41" spans="1:12">
      <c r="A41" s="107" t="s">
        <v>585</v>
      </c>
      <c r="B41" s="302"/>
      <c r="C41" s="302"/>
      <c r="D41" s="302"/>
      <c r="E41" s="302"/>
      <c r="F41" s="302"/>
      <c r="G41" s="302"/>
      <c r="K41" s="20"/>
      <c r="L41" s="20"/>
    </row>
    <row r="42" spans="1:12">
      <c r="A42" s="597" t="s">
        <v>154</v>
      </c>
      <c r="B42" s="20">
        <f>('Clés de répartition'!J110-'Clés de répartition'!B110)/('Clés de répartition'!G67-$E$20*'Clés de répartition'!G24/'Clés de répartition'!D151)*('Clés de répartition'!B67-$E$20*'Clés de répartition'!G24/'Clés de répartition'!D151)+'Clés de répartition'!B110</f>
        <v>31.549778815711498</v>
      </c>
      <c r="C42" s="155">
        <f>(B42-'Clés de répartition'!B110)/60*2*'Privé - Temps'!$B$11*'Privé - Temps'!$B$10*'Privé - Temps'!$B$12</f>
        <v>1501.3648187518747</v>
      </c>
      <c r="D42" s="53">
        <f>Fonctions!R19*'Privé - Temps'!$B$11-'Caché - GES'!B33</f>
        <v>228.05592205140908</v>
      </c>
      <c r="E42" s="54">
        <f>Fonctions!S19*'Privé - Temps'!$B$11*'Privé - Achat&amp;Utilisation'!$B$14-'Privé - Achat&amp;Utilisation'!C82</f>
        <v>333.08038419715854</v>
      </c>
      <c r="F42" s="59">
        <f t="shared" ref="F42:F60" si="2">SUM(C42:E42)</f>
        <v>2062.5011250004427</v>
      </c>
      <c r="G42" s="54">
        <f>F42*'Clés de répartition'!B67*'Clés de répartition'!D151</f>
        <v>82068587.841461509</v>
      </c>
      <c r="K42" s="20"/>
      <c r="L42" s="20"/>
    </row>
    <row r="43" spans="1:12">
      <c r="A43" s="597" t="s">
        <v>155</v>
      </c>
      <c r="B43" s="20">
        <f>('Clés de répartition'!J111-'Clés de répartition'!B111)/('Clés de répartition'!G68-$E$20*'Clés de répartition'!G25/'Clés de répartition'!D152)*('Clés de répartition'!B68-$E$20*'Clés de répartition'!G25/'Clés de répartition'!D152)+'Clés de répartition'!B111</f>
        <v>35.467672663795902</v>
      </c>
      <c r="C43" s="155">
        <f>(B43-'Clés de répartition'!B111)/60*2*'Privé - Temps'!$B$11*'Privé - Temps'!$B$10*'Privé - Temps'!$B$12</f>
        <v>1909.8779808034039</v>
      </c>
      <c r="D43" s="53">
        <f>Fonctions!R20*'Privé - Temps'!$B$11-'Caché - GES'!B34</f>
        <v>287.21212903344792</v>
      </c>
      <c r="E43" s="54">
        <f>Fonctions!S20*'Privé - Temps'!$B$11*'Privé - Achat&amp;Utilisation'!$B$14-'Privé - Achat&amp;Utilisation'!C83</f>
        <v>419.77342745281749</v>
      </c>
      <c r="F43" s="59">
        <f t="shared" si="2"/>
        <v>2616.8635372896692</v>
      </c>
      <c r="G43" s="54">
        <f>F43*'Clés de répartition'!B68*'Clés de répartition'!D152</f>
        <v>35834218.832936302</v>
      </c>
      <c r="K43" s="434"/>
      <c r="L43" s="20"/>
    </row>
    <row r="44" spans="1:12">
      <c r="A44" s="597" t="s">
        <v>156</v>
      </c>
      <c r="B44" s="20">
        <f>('Clés de répartition'!J112-'Clés de répartition'!B112)/('Clés de répartition'!G69-$E$20*'Clés de répartition'!G26/'Clés de répartition'!D153)*('Clés de répartition'!B69-$E$20*'Clés de répartition'!G26/'Clés de répartition'!D153)+'Clés de répartition'!B112</f>
        <v>26.4595319823168</v>
      </c>
      <c r="C44" s="155">
        <f>(B44-'Clés de répartition'!B112)/60*2*'Privé - Temps'!$B$11*'Privé - Temps'!$B$10*'Privé - Temps'!$B$12</f>
        <v>1214.9495156058633</v>
      </c>
      <c r="D44" s="53">
        <f>Fonctions!R21*'Privé - Temps'!$B$11-'Caché - GES'!B35</f>
        <v>184.46032417849653</v>
      </c>
      <c r="E44" s="54">
        <f>Fonctions!S21*'Privé - Temps'!$B$11*'Privé - Achat&amp;Utilisation'!$B$14-'Privé - Achat&amp;Utilisation'!C84</f>
        <v>269.41886128837632</v>
      </c>
      <c r="F44" s="59">
        <f t="shared" si="2"/>
        <v>1668.8287010727363</v>
      </c>
      <c r="G44" s="54">
        <f>F44*'Clés de répartition'!B69*'Clés de répartition'!D153</f>
        <v>72621549.872546241</v>
      </c>
      <c r="K44" s="20"/>
      <c r="L44" s="20"/>
    </row>
    <row r="45" spans="1:12">
      <c r="A45" s="597" t="s">
        <v>403</v>
      </c>
      <c r="B45" s="20">
        <f>('Clés de répartition'!J113-'Clés de répartition'!B113)/('Clés de répartition'!G70-$E$20*'Clés de répartition'!G27/'Clés de répartition'!D154)*('Clés de répartition'!B70-$E$20*'Clés de répartition'!G27/'Clés de répartition'!D154)+'Clés de répartition'!B113</f>
        <v>35.7570491126287</v>
      </c>
      <c r="C45" s="155">
        <f>(B45-'Clés de répartition'!B113)/60*2*'Privé - Temps'!$B$11*'Privé - Temps'!$B$10*'Privé - Temps'!$B$12</f>
        <v>1565.4447926855617</v>
      </c>
      <c r="D45" s="53">
        <f>Fonctions!R22*'Privé - Temps'!$B$11-'Caché - GES'!B36</f>
        <v>221.14014053284689</v>
      </c>
      <c r="E45" s="54">
        <f>Fonctions!S22*'Privé - Temps'!$B$11*'Privé - Achat&amp;Utilisation'!$B$14-'Privé - Achat&amp;Utilisation'!C85</f>
        <v>324.65007334682832</v>
      </c>
      <c r="F45" s="59">
        <f t="shared" si="2"/>
        <v>2111.2350065652367</v>
      </c>
      <c r="G45" s="54">
        <f>F45*'Clés de répartition'!B70*'Clés de répartition'!D154</f>
        <v>18706593.740664393</v>
      </c>
      <c r="K45" s="20"/>
      <c r="L45" s="20"/>
    </row>
    <row r="46" spans="1:12">
      <c r="A46" s="597" t="s">
        <v>168</v>
      </c>
      <c r="B46" s="20">
        <f>('Clés de répartition'!J114-'Clés de répartition'!B114)/('Clés de répartition'!G71-$E$20*'Clés de répartition'!G28/'Clés de répartition'!D155)*('Clés de répartition'!B71-$E$20*'Clés de répartition'!G28/'Clés de répartition'!D155)+'Clés de répartition'!B114</f>
        <v>31.574796101030799</v>
      </c>
      <c r="C46" s="155">
        <f>(B46-'Clés de répartition'!B114)/60*2*'Privé - Temps'!$B$11*'Privé - Temps'!$B$10*'Privé - Temps'!$B$12</f>
        <v>1464.9519535834752</v>
      </c>
      <c r="D46" s="53">
        <f>Fonctions!R23*'Privé - Temps'!$B$11-'Caché - GES'!B37</f>
        <v>216.71761955930276</v>
      </c>
      <c r="E46" s="54">
        <f>Fonctions!S23*'Privé - Temps'!$B$11*'Privé - Achat&amp;Utilisation'!$B$14-'Privé - Achat&amp;Utilisation'!C86</f>
        <v>317.11823391477856</v>
      </c>
      <c r="F46" s="59">
        <f t="shared" si="2"/>
        <v>1998.7878070575566</v>
      </c>
      <c r="G46" s="54">
        <f>F46*'Clés de répartition'!B71*'Clés de répartition'!D155</f>
        <v>39132276.06586232</v>
      </c>
      <c r="K46" s="20"/>
      <c r="L46" s="20"/>
    </row>
    <row r="47" spans="1:12">
      <c r="A47" s="597" t="s">
        <v>167</v>
      </c>
      <c r="B47" s="20">
        <f>('Clés de répartition'!J115-'Clés de répartition'!B115)/('Clés de répartition'!G72-$E$20*'Clés de répartition'!G29/'Clés de répartition'!D156)*('Clés de répartition'!B72-$E$20*'Clés de répartition'!G29/'Clés de répartition'!D156)+'Clés de répartition'!B115</f>
        <v>26.604761249135802</v>
      </c>
      <c r="C47" s="155">
        <f>(B47-'Clés de répartition'!B115)/60*2*'Privé - Temps'!$B$11*'Privé - Temps'!$B$10*'Privé - Temps'!$B$12</f>
        <v>1220.0714900083035</v>
      </c>
      <c r="D47" s="53">
        <f>Fonctions!R24*'Privé - Temps'!$B$11-'Caché - GES'!B38</f>
        <v>175.55190875077642</v>
      </c>
      <c r="E47" s="54">
        <f>Fonctions!S24*'Privé - Temps'!$B$11*'Privé - Achat&amp;Utilisation'!$B$14-'Privé - Achat&amp;Utilisation'!C87</f>
        <v>257.38536958281247</v>
      </c>
      <c r="F47" s="59">
        <f t="shared" si="2"/>
        <v>1653.0087683418924</v>
      </c>
      <c r="G47" s="54">
        <f>F47*'Clés de répartition'!B72*'Clés de répartition'!D156</f>
        <v>52851188.500991106</v>
      </c>
      <c r="K47" s="20"/>
      <c r="L47" s="20"/>
    </row>
    <row r="48" spans="1:12">
      <c r="A48" s="597" t="s">
        <v>170</v>
      </c>
      <c r="B48" s="20">
        <f>('Clés de répartition'!J116-'Clés de répartition'!B116)/('Clés de répartition'!G73-$E$20*'Clés de répartition'!G30/'Clés de répartition'!D157)*('Clés de répartition'!B73-$E$20*'Clés de répartition'!G30/'Clés de répartition'!D157)+'Clés de répartition'!B116</f>
        <v>33.3478615277375</v>
      </c>
      <c r="C48" s="155">
        <f>(B48-'Clés de répartition'!B116)/60*2*'Privé - Temps'!$B$11*'Privé - Temps'!$B$10*'Privé - Temps'!$B$12</f>
        <v>1683.1536723606266</v>
      </c>
      <c r="D48" s="53">
        <f>Fonctions!R25*'Privé - Temps'!$B$11-'Caché - GES'!B39</f>
        <v>255.89984625971397</v>
      </c>
      <c r="E48" s="54">
        <f>Fonctions!S25*'Privé - Temps'!$B$11*'Privé - Achat&amp;Utilisation'!$B$14-'Privé - Achat&amp;Utilisation'!C88</f>
        <v>373.71910606069559</v>
      </c>
      <c r="F48" s="59">
        <f t="shared" si="2"/>
        <v>2312.7726246810362</v>
      </c>
      <c r="G48" s="54">
        <f>F48*'Clés de répartition'!B73*'Clés de répartition'!D157</f>
        <v>97814108.159897014</v>
      </c>
      <c r="K48" s="20"/>
      <c r="L48" s="20"/>
    </row>
    <row r="49" spans="1:12">
      <c r="A49" s="597" t="s">
        <v>171</v>
      </c>
      <c r="B49" s="20">
        <f>('Clés de répartition'!J117-'Clés de répartition'!B117)/('Clés de répartition'!G74-$E$20*'Clés de répartition'!G31/'Clés de répartition'!D158)*('Clés de répartition'!B74-$E$20*'Clés de répartition'!G31/'Clés de répartition'!D158)+'Clés de répartition'!B117</f>
        <v>34.4524969913669</v>
      </c>
      <c r="C49" s="155">
        <f>(B49-'Clés de répartition'!B117)/60*2*'Privé - Temps'!$B$11*'Privé - Temps'!$B$10*'Privé - Temps'!$B$12</f>
        <v>1685.6824662722565</v>
      </c>
      <c r="D49" s="53">
        <f>Fonctions!R26*'Privé - Temps'!$B$11-'Caché - GES'!B40</f>
        <v>258.36934189054148</v>
      </c>
      <c r="E49" s="54">
        <f>Fonctions!S26*'Privé - Temps'!$B$11*'Privé - Achat&amp;Utilisation'!$B$14-'Privé - Achat&amp;Utilisation'!C89</f>
        <v>377.1027616400977</v>
      </c>
      <c r="F49" s="59">
        <f t="shared" si="2"/>
        <v>2321.1545698028958</v>
      </c>
      <c r="G49" s="54">
        <f>F49*'Clés de répartition'!B74*'Clés de répartition'!D158</f>
        <v>61189781.982954331</v>
      </c>
      <c r="K49" s="20"/>
      <c r="L49" s="20"/>
    </row>
    <row r="50" spans="1:12">
      <c r="A50" s="597" t="s">
        <v>172</v>
      </c>
      <c r="B50" s="20">
        <f>('Clés de répartition'!J118-'Clés de répartition'!B118)/('Clés de répartition'!G75-$E$20*'Clés de répartition'!G32/'Clés de répartition'!D159)*('Clés de répartition'!B75-$E$20*'Clés de répartition'!G32/'Clés de répartition'!D159)+'Clés de répartition'!B118</f>
        <v>25.952894982765201</v>
      </c>
      <c r="C50" s="155">
        <f>(B50-'Clés de répartition'!B118)/60*2*'Privé - Temps'!$B$11*'Privé - Temps'!$B$10*'Privé - Temps'!$B$12</f>
        <v>1071.2523324396718</v>
      </c>
      <c r="D50" s="53">
        <f>Fonctions!R27*'Privé - Temps'!$B$11-'Caché - GES'!B41</f>
        <v>165.57537500083038</v>
      </c>
      <c r="E50" s="54">
        <f>Fonctions!S27*'Privé - Temps'!$B$11*'Privé - Achat&amp;Utilisation'!$B$14-'Privé - Achat&amp;Utilisation'!C90</f>
        <v>241.51741729178843</v>
      </c>
      <c r="F50" s="59">
        <f t="shared" si="2"/>
        <v>1478.3451247322907</v>
      </c>
      <c r="G50" s="54">
        <f>F50*'Clés de répartition'!B75*'Clés de répartition'!D159</f>
        <v>6810620.5634186361</v>
      </c>
      <c r="K50" s="20"/>
      <c r="L50" s="20"/>
    </row>
    <row r="51" spans="1:12">
      <c r="A51" s="597" t="s">
        <v>173</v>
      </c>
      <c r="B51" s="20">
        <f>('Clés de répartition'!J119-'Clés de répartition'!B119)/('Clés de répartition'!G76-$E$20*'Clés de répartition'!G33/'Clés de répartition'!D160)*('Clés de répartition'!B76-$E$20*'Clés de répartition'!G33/'Clés de répartition'!D160)+'Clés de répartition'!B119</f>
        <v>33.998674368789899</v>
      </c>
      <c r="C51" s="155">
        <f>(B51-'Clés de répartition'!B119)/60*2*'Privé - Temps'!$B$11*'Privé - Temps'!$B$10*'Privé - Temps'!$B$12</f>
        <v>1611.9387810192447</v>
      </c>
      <c r="D51" s="53">
        <f>Fonctions!R28*'Privé - Temps'!$B$11-'Caché - GES'!B42</f>
        <v>231.92186309642898</v>
      </c>
      <c r="E51" s="54">
        <f>Fonctions!S28*'Privé - Temps'!$B$11*'Privé - Achat&amp;Utilisation'!$B$14-'Privé - Achat&amp;Utilisation'!C91</f>
        <v>340.03256993470859</v>
      </c>
      <c r="F51" s="59">
        <f t="shared" si="2"/>
        <v>2183.8932140503821</v>
      </c>
      <c r="G51" s="54">
        <f>F51*'Clés de répartition'!B76*'Clés de répartition'!D160</f>
        <v>67387431.635761008</v>
      </c>
      <c r="K51" s="20"/>
      <c r="L51" s="20"/>
    </row>
    <row r="52" spans="1:12">
      <c r="A52" s="597" t="s">
        <v>350</v>
      </c>
      <c r="B52" s="20">
        <f>('Clés de répartition'!J120-'Clés de répartition'!B120)/('Clés de répartition'!G77-$E$20*'Clés de répartition'!G34/'Clés de répartition'!D161)*('Clés de répartition'!B77-$E$20*'Clés de répartition'!G34/'Clés de répartition'!D161)+'Clés de répartition'!B120</f>
        <v>31.1286403461493</v>
      </c>
      <c r="C52" s="155">
        <f>(B52-'Clés de répartition'!B120)/60*2*'Privé - Temps'!$B$11*'Privé - Temps'!$B$10*'Privé - Temps'!$B$12</f>
        <v>1305.3357414687334</v>
      </c>
      <c r="D52" s="53">
        <f>Fonctions!R29*'Privé - Temps'!$B$11-'Caché - GES'!B43</f>
        <v>200.28318878581399</v>
      </c>
      <c r="E52" s="54">
        <f>Fonctions!S29*'Privé - Temps'!$B$11*'Privé - Achat&amp;Utilisation'!$B$14-'Privé - Achat&amp;Utilisation'!C92</f>
        <v>292.30656779540277</v>
      </c>
      <c r="F52" s="59">
        <f t="shared" si="2"/>
        <v>1797.9254980499502</v>
      </c>
      <c r="G52" s="54">
        <f>F52*'Clés de répartition'!B77*'Clés de répartition'!D161</f>
        <v>36101971.23384314</v>
      </c>
      <c r="K52" s="20"/>
      <c r="L52" s="20"/>
    </row>
    <row r="53" spans="1:12">
      <c r="A53" s="597" t="s">
        <v>174</v>
      </c>
      <c r="B53" s="20">
        <f>('Clés de répartition'!J121-'Clés de répartition'!B121)/('Clés de répartition'!G78-$E$20*'Clés de répartition'!G35/'Clés de répartition'!D162)*('Clés de répartition'!B78-$E$20*'Clés de répartition'!G35/'Clés de répartition'!D162)+'Clés de répartition'!B121</f>
        <v>39.906750445902702</v>
      </c>
      <c r="C53" s="155">
        <f>(B53-'Clés de répartition'!B121)/60*2*'Privé - Temps'!$B$11*'Privé - Temps'!$B$10*'Privé - Temps'!$B$12</f>
        <v>2083.8746293453087</v>
      </c>
      <c r="D53" s="53">
        <f>Fonctions!R30*'Privé - Temps'!$B$11-'Caché - GES'!B44</f>
        <v>306.60333826395072</v>
      </c>
      <c r="E53" s="54">
        <f>Fonctions!S30*'Privé - Temps'!$B$11*'Privé - Achat&amp;Utilisation'!$B$14-'Privé - Achat&amp;Utilisation'!C93</f>
        <v>448.81183412175187</v>
      </c>
      <c r="F53" s="59">
        <f t="shared" si="2"/>
        <v>2839.2898017310113</v>
      </c>
      <c r="G53" s="54">
        <f>F53*'Clés de répartition'!B78*'Clés de répartition'!D162</f>
        <v>125356761.94371589</v>
      </c>
      <c r="K53" s="434"/>
      <c r="L53" s="20"/>
    </row>
    <row r="54" spans="1:12">
      <c r="A54" s="597" t="s">
        <v>175</v>
      </c>
      <c r="B54" s="20">
        <f>('Clés de répartition'!J122-'Clés de répartition'!B122)/('Clés de répartition'!G79-$E$20*'Clés de répartition'!G36/'Clés de répartition'!D163)*('Clés de répartition'!B79-$E$20*'Clés de répartition'!G36/'Clés de répartition'!D163)+'Clés de répartition'!B122</f>
        <v>33.844158686009798</v>
      </c>
      <c r="C54" s="155">
        <f>(B54-'Clés de répartition'!B122)/60*2*'Privé - Temps'!$B$11*'Privé - Temps'!$B$10*'Privé - Temps'!$B$12</f>
        <v>1670.6007221521099</v>
      </c>
      <c r="D54" s="53">
        <f>Fonctions!R31*'Privé - Temps'!$B$11-'Caché - GES'!B45</f>
        <v>257.61766299066437</v>
      </c>
      <c r="E54" s="54">
        <f>Fonctions!S31*'Privé - Temps'!$B$11*'Privé - Achat&amp;Utilisation'!$B$14-'Privé - Achat&amp;Utilisation'!C94</f>
        <v>375.83193441942785</v>
      </c>
      <c r="F54" s="59">
        <f t="shared" si="2"/>
        <v>2304.0503195622023</v>
      </c>
      <c r="G54" s="54">
        <f>F54*'Clés de répartition'!B79*'Clés de répartition'!D163</f>
        <v>83664812.560031682</v>
      </c>
      <c r="K54" s="20"/>
      <c r="L54" s="20"/>
    </row>
    <row r="55" spans="1:12">
      <c r="A55" s="597" t="s">
        <v>176</v>
      </c>
      <c r="B55" s="20">
        <f>('Clés de répartition'!J123-'Clés de répartition'!B123)/('Clés de répartition'!G80-$E$20*'Clés de répartition'!G37/'Clés de répartition'!D164)*('Clés de répartition'!B80-$E$20*'Clés de répartition'!G37/'Clés de répartition'!D164)+'Clés de répartition'!B123</f>
        <v>28.163632533768698</v>
      </c>
      <c r="C55" s="155">
        <f>(B55-'Clés de répartition'!B123)/60*2*'Privé - Temps'!$B$11*'Privé - Temps'!$B$10*'Privé - Temps'!$B$12</f>
        <v>1302.8825680318696</v>
      </c>
      <c r="D55" s="53">
        <f>Fonctions!R32*'Privé - Temps'!$B$11-'Caché - GES'!B46</f>
        <v>194.50866643941788</v>
      </c>
      <c r="E55" s="54">
        <f>Fonctions!S32*'Privé - Temps'!$B$11*'Privé - Achat&amp;Utilisation'!$B$14-'Privé - Achat&amp;Utilisation'!C95</f>
        <v>284.43689462556586</v>
      </c>
      <c r="F55" s="59">
        <f t="shared" si="2"/>
        <v>1781.8281290968534</v>
      </c>
      <c r="G55" s="54">
        <f>F55*'Clés de répartition'!B80*'Clés de répartition'!D164</f>
        <v>61852179.832839079</v>
      </c>
      <c r="K55" s="20"/>
      <c r="L55" s="20"/>
    </row>
    <row r="56" spans="1:12">
      <c r="A56" s="597" t="s">
        <v>177</v>
      </c>
      <c r="B56" s="20">
        <f>('Clés de répartition'!J124-'Clés de répartition'!B124)/('Clés de répartition'!G81-$E$20*'Clés de répartition'!G38/'Clés de répartition'!D165)*('Clés de répartition'!B81-$E$20*'Clés de répartition'!G38/'Clés de répartition'!D165)+'Clés de répartition'!B124</f>
        <v>34.499081939442</v>
      </c>
      <c r="C56" s="155">
        <f>(B56-'Clés de répartition'!B124)/60*2*'Privé - Temps'!$B$11*'Privé - Temps'!$B$10*'Privé - Temps'!$B$12</f>
        <v>1835.2069450980653</v>
      </c>
      <c r="D56" s="53">
        <f>Fonctions!R33*'Privé - Temps'!$B$11-'Caché - GES'!B47</f>
        <v>280.9799380347165</v>
      </c>
      <c r="E56" s="54">
        <f>Fonctions!S33*'Privé - Temps'!$B$11*'Privé - Achat&amp;Utilisation'!$B$14-'Privé - Achat&amp;Utilisation'!C96</f>
        <v>410.13062311682552</v>
      </c>
      <c r="F56" s="59">
        <f t="shared" si="2"/>
        <v>2526.3175062496075</v>
      </c>
      <c r="G56" s="54">
        <f>F56*'Clés de répartition'!B81*'Clés de répartition'!D165</f>
        <v>69188020.787008658</v>
      </c>
      <c r="K56" s="20"/>
      <c r="L56" s="20"/>
    </row>
    <row r="57" spans="1:12">
      <c r="A57" s="597" t="s">
        <v>351</v>
      </c>
      <c r="B57" s="20">
        <f>('Clés de répartition'!J125-'Clés de répartition'!B125)/('Clés de répartition'!G82-$E$20*'Clés de répartition'!G39/'Clés de répartition'!D166)*('Clés de répartition'!B82-$E$20*'Clés de répartition'!G39/'Clés de répartition'!D166)+'Clés de répartition'!B125</f>
        <v>29.7671927434426</v>
      </c>
      <c r="C57" s="155">
        <f>(B57-'Clés de répartition'!B125)/60*2*'Privé - Temps'!$B$11*'Privé - Temps'!$B$10*'Privé - Temps'!$B$12</f>
        <v>1381.7053864788065</v>
      </c>
      <c r="D57" s="53">
        <f>Fonctions!R34*'Privé - Temps'!$B$11-'Caché - GES'!B48</f>
        <v>203.11233283706042</v>
      </c>
      <c r="E57" s="54">
        <f>Fonctions!S34*'Privé - Temps'!$B$11*'Privé - Achat&amp;Utilisation'!$B$14-'Privé - Achat&amp;Utilisation'!C97</f>
        <v>297.34270123449869</v>
      </c>
      <c r="F57" s="59">
        <f t="shared" si="2"/>
        <v>1882.1604205503656</v>
      </c>
      <c r="G57" s="54">
        <f>F57*'Clés de répartition'!B82*'Clés de répartition'!D166</f>
        <v>39883787.765822597</v>
      </c>
      <c r="K57" s="20"/>
      <c r="L57" s="20"/>
    </row>
    <row r="58" spans="1:12">
      <c r="A58" s="597" t="s">
        <v>856</v>
      </c>
      <c r="B58" s="20">
        <f>('Clés de répartition'!J126-'Clés de répartition'!B126)/('Clés de répartition'!G83-$E$20*'Clés de répartition'!G40/'Clés de répartition'!D167)*('Clés de répartition'!B83-$E$20*'Clés de répartition'!G40/'Clés de répartition'!D167)+'Clés de répartition'!B126</f>
        <v>31.390956236580699</v>
      </c>
      <c r="C58" s="155">
        <f>(B58-'Clés de répartition'!B126)/60*2*'Privé - Temps'!$B$11*'Privé - Temps'!$B$10*'Privé - Temps'!$B$12</f>
        <v>1492.8054363603148</v>
      </c>
      <c r="D58" s="53">
        <f>Fonctions!R35*'Privé - Temps'!$B$11-'Caché - GES'!B49</f>
        <v>218.82298941058991</v>
      </c>
      <c r="E58" s="54">
        <f>Fonctions!S35*'Privé - Temps'!$B$11*'Privé - Achat&amp;Utilisation'!$B$14-'Privé - Achat&amp;Utilisation'!C98</f>
        <v>320.4052644725889</v>
      </c>
      <c r="F58" s="59">
        <f t="shared" si="2"/>
        <v>2032.0336902434938</v>
      </c>
      <c r="G58" s="54">
        <f>F58*'Clés de répartition'!B83*'Clés de répartition'!D167</f>
        <v>39664033.110675253</v>
      </c>
      <c r="K58" s="20"/>
      <c r="L58" s="20"/>
    </row>
    <row r="59" spans="1:12">
      <c r="A59" s="597" t="s">
        <v>178</v>
      </c>
      <c r="B59" s="20">
        <f>('Clés de répartition'!J127-'Clés de répartition'!B127)/('Clés de répartition'!G84-$E$20*'Clés de répartition'!G41/'Clés de répartition'!D168)*('Clés de répartition'!B84-$E$20*'Clés de répartition'!G41/'Clés de répartition'!D168)+'Clés de répartition'!B127</f>
        <v>28.934689051582499</v>
      </c>
      <c r="C59" s="155">
        <f>(B59-'Clés de répartition'!B127)/60*2*'Privé - Temps'!$B$11*'Privé - Temps'!$B$10*'Privé - Temps'!$B$12</f>
        <v>1272.5657076759082</v>
      </c>
      <c r="D59" s="53">
        <f>Fonctions!R36*'Privé - Temps'!$B$11-'Caché - GES'!B50</f>
        <v>192.0243928836901</v>
      </c>
      <c r="E59" s="54">
        <f>Fonctions!S36*'Privé - Temps'!$B$11*'Privé - Achat&amp;Utilisation'!$B$14-'Privé - Achat&amp;Utilisation'!C99</f>
        <v>280.59212669461817</v>
      </c>
      <c r="F59" s="59">
        <f t="shared" si="2"/>
        <v>1745.1822272542165</v>
      </c>
      <c r="G59" s="54">
        <f>F59*'Clés de répartition'!B84*'Clés de répartition'!D168</f>
        <v>45329506.629751757</v>
      </c>
      <c r="K59" s="20"/>
      <c r="L59" s="20"/>
    </row>
    <row r="60" spans="1:12">
      <c r="A60" s="597" t="s">
        <v>179</v>
      </c>
      <c r="B60" s="20">
        <f>('Clés de répartition'!J128-'Clés de répartition'!B128)/('Clés de répartition'!G85-$E$20*'Clés de répartition'!G42/'Clés de répartition'!D169)*('Clés de répartition'!B85-$E$20*'Clés de répartition'!G42/'Clés de répartition'!D169)+'Clés de répartition'!B128</f>
        <v>31.350530414775399</v>
      </c>
      <c r="C60" s="155">
        <f>(B60-'Clés de répartition'!B128)/60*2*'Privé - Temps'!$B$11*'Privé - Temps'!$B$10*'Privé - Temps'!$B$12</f>
        <v>1491.6048719212431</v>
      </c>
      <c r="D60" s="53">
        <f>Fonctions!R37*'Privé - Temps'!$B$11-'Caché - GES'!B51</f>
        <v>225.95383851513429</v>
      </c>
      <c r="E60" s="54">
        <f>Fonctions!S37*'Privé - Temps'!$B$11*'Privé - Achat&amp;Utilisation'!$B$14-'Privé - Achat&amp;Utilisation'!C100</f>
        <v>330.07556017733555</v>
      </c>
      <c r="F60" s="59">
        <f t="shared" si="2"/>
        <v>2047.6342706137129</v>
      </c>
      <c r="G60" s="54">
        <f>F60*'Clés de répartition'!B85*'Clés de répartition'!D169</f>
        <v>71626184.569696307</v>
      </c>
      <c r="K60" s="20"/>
      <c r="L60" s="20"/>
    </row>
    <row r="62" spans="1:12">
      <c r="A62" s="23" t="s">
        <v>653</v>
      </c>
    </row>
    <row r="63" spans="1:12">
      <c r="A63" s="45" t="s">
        <v>68</v>
      </c>
    </row>
  </sheetData>
  <mergeCells count="6">
    <mergeCell ref="B23:F23"/>
    <mergeCell ref="A4:E5"/>
    <mergeCell ref="B6:C6"/>
    <mergeCell ref="D6:E6"/>
    <mergeCell ref="A6:A7"/>
    <mergeCell ref="A20:C20"/>
  </mergeCells>
  <conditionalFormatting sqref="F25:F40 F42:F60">
    <cfRule type="colorScale" priority="1">
      <colorScale>
        <cfvo type="min"/>
        <cfvo type="percentile" val="50"/>
        <cfvo type="max"/>
        <color theme="9"/>
        <color rgb="FFFFEB84"/>
        <color rgb="FFFF0000"/>
      </colorScale>
    </cfRule>
  </conditionalFormatting>
  <hyperlinks>
    <hyperlink ref="A21" r:id="rId1" xr:uid="{553D8300-93E0-6141-B709-BAB92F52F12F}"/>
    <hyperlink ref="A63" r:id="rId2" xr:uid="{B3048BBE-9801-D54C-8603-266C7E261AE4}"/>
    <hyperlink ref="A1" location="'Table des matières'!A1" display="Retour à la Table des matières" xr:uid="{92775820-0AF7-A242-A8C4-37289AC9DBFB}"/>
  </hyperlink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3FD434-B152-4D46-A6BF-249B91D7A0D8}">
  <sheetPr codeName="Sheet3"/>
  <dimension ref="A1:O40"/>
  <sheetViews>
    <sheetView showGridLines="0" zoomScale="63" zoomScaleNormal="100" workbookViewId="0">
      <selection activeCell="D28" sqref="D28:E28"/>
    </sheetView>
  </sheetViews>
  <sheetFormatPr baseColWidth="10" defaultRowHeight="16"/>
  <cols>
    <col min="1" max="1" width="20.83203125" customWidth="1"/>
    <col min="2" max="2" width="36.6640625" customWidth="1"/>
    <col min="3" max="3" width="18.5" customWidth="1"/>
    <col min="4" max="4" width="11.1640625" customWidth="1"/>
    <col min="5" max="5" width="15.6640625" customWidth="1"/>
    <col min="6" max="6" width="12.1640625" customWidth="1"/>
    <col min="7" max="7" width="11" customWidth="1"/>
    <col min="8" max="8" width="15.83203125" customWidth="1"/>
    <col min="9" max="9" width="11.5" customWidth="1"/>
    <col min="10" max="10" width="12.83203125" customWidth="1"/>
    <col min="11" max="12" width="12.6640625" customWidth="1"/>
    <col min="13" max="13" width="10.83203125" customWidth="1"/>
    <col min="14" max="14" width="12.6640625" customWidth="1"/>
    <col min="15" max="15" width="12.5" customWidth="1"/>
  </cols>
  <sheetData>
    <row r="1" spans="1:15" ht="26">
      <c r="A1" s="48" t="s">
        <v>574</v>
      </c>
    </row>
    <row r="2" spans="1:15" ht="17" thickBot="1">
      <c r="A2" s="641" t="s">
        <v>844</v>
      </c>
      <c r="B2" s="643" t="s">
        <v>24</v>
      </c>
      <c r="C2" s="270"/>
      <c r="D2" s="272" t="s">
        <v>10</v>
      </c>
      <c r="E2" s="271"/>
      <c r="F2" s="273"/>
      <c r="G2" s="275" t="s">
        <v>42</v>
      </c>
      <c r="H2" s="274"/>
      <c r="I2" s="276"/>
      <c r="J2" s="278" t="s">
        <v>12</v>
      </c>
      <c r="K2" s="277"/>
      <c r="L2" s="279"/>
      <c r="M2" s="281" t="s">
        <v>13</v>
      </c>
      <c r="N2" s="280"/>
      <c r="O2" s="373"/>
    </row>
    <row r="3" spans="1:15">
      <c r="A3" s="642"/>
      <c r="B3" s="638"/>
      <c r="C3" s="5" t="s">
        <v>34</v>
      </c>
      <c r="D3" s="233" t="s">
        <v>39</v>
      </c>
      <c r="E3" s="7" t="s">
        <v>36</v>
      </c>
      <c r="F3" s="5" t="s">
        <v>34</v>
      </c>
      <c r="G3" s="6" t="s">
        <v>39</v>
      </c>
      <c r="H3" s="7" t="s">
        <v>36</v>
      </c>
      <c r="I3" s="5" t="s">
        <v>34</v>
      </c>
      <c r="J3" s="233" t="s">
        <v>39</v>
      </c>
      <c r="K3" s="7" t="s">
        <v>36</v>
      </c>
      <c r="L3" s="6" t="s">
        <v>34</v>
      </c>
      <c r="M3" s="6" t="s">
        <v>39</v>
      </c>
      <c r="N3" s="7" t="s">
        <v>36</v>
      </c>
      <c r="O3" s="619" t="s">
        <v>769</v>
      </c>
    </row>
    <row r="4" spans="1:15">
      <c r="A4" s="644" t="s">
        <v>34</v>
      </c>
      <c r="B4" s="19" t="s">
        <v>26</v>
      </c>
      <c r="C4" s="181">
        <f>'Privé - Achat&amp;Utilisation'!B9</f>
        <v>3272.909751619819</v>
      </c>
      <c r="D4" s="106"/>
      <c r="E4" s="157"/>
      <c r="F4" s="158"/>
      <c r="G4" s="106"/>
      <c r="H4" s="157"/>
      <c r="I4" s="180">
        <f>'Privé - Achat&amp;Utilisation'!C9</f>
        <v>205.07379999999998</v>
      </c>
      <c r="J4" s="106"/>
      <c r="K4" s="157"/>
      <c r="L4" s="106"/>
      <c r="M4" s="106"/>
      <c r="N4" s="157"/>
      <c r="O4" s="620" cm="1">
        <f t="array" ref="O4">(SUM(C4:E4)*IF(Bienvenue!$G$11=1,INDEX('Clés de répartition'!$B$50:$B$65,Bienvenue!$G$10,1)*INDEX('Clés de répartition'!$D$134:$D$149,Bienvenue!$G$10,1),INDEX('Clés de répartition'!$B$67:$B$85,Bienvenue!$G$11-1,1)*INDEX('Clés de répartition'!$D$151:$D$169,Bienvenue!$G$11-1,1))+SUM(F4:H4)*IF(Bienvenue!$G$11=1,INDEX('Clés de répartition'!$C$50:$C$65,Bienvenue!$G$10,1)*INDEX('Clés de répartition'!$D$134:$D$149,Bienvenue!$G$10,1),INDEX('Clés de répartition'!$C$67:$C$85,Bienvenue!$G$11-1,1)*INDEX('Clés de répartition'!$D$151:$D$169,Bienvenue!$G$11-1,1))+SUM(I4:K4)*IF(Bienvenue!$G$11=1,INDEX('Clés de répartition'!$D$50:$D$65,Bienvenue!$G$10,1)*INDEX('Clés de répartition'!$D$134:$D$149,Bienvenue!$G$10,1),INDEX('Clés de répartition'!$D$67:$D$85,Bienvenue!$G$11-1,1)*INDEX('Clés de répartition'!$D$151:$D$169,Bienvenue!$G$11-1,1))+SUM(L4:N4)*IF(Bienvenue!$G$11=1,INDEX('Clés de répartition'!$E$50:$E$65,Bienvenue!$G$10,1)*INDEX('Clés de répartition'!$D$134:$D$149,Bienvenue!$G$10,1),INDEX('Clés de répartition'!$E$67:$E$85,Bienvenue!$G$11-1,1)*INDEX('Clés de répartition'!$D$151:$D$169,Bienvenue!$G$11-1,1)))/1000000</f>
        <v>2025.9616562356709</v>
      </c>
    </row>
    <row r="5" spans="1:15">
      <c r="A5" s="644"/>
      <c r="B5" s="19" t="s">
        <v>32</v>
      </c>
      <c r="C5" s="158"/>
      <c r="D5" s="106"/>
      <c r="E5" s="157"/>
      <c r="F5" s="180">
        <f>'Privé&amp;Indirect - ARTM'!B8</f>
        <v>575.85555077116078</v>
      </c>
      <c r="G5" s="106"/>
      <c r="H5" s="157"/>
      <c r="I5" s="158"/>
      <c r="J5" s="106"/>
      <c r="K5" s="157"/>
      <c r="L5" s="106"/>
      <c r="M5" s="106"/>
      <c r="N5" s="157"/>
      <c r="O5" s="620" cm="1">
        <f t="array" ref="O5">(SUM(C5:E5)*IF(Bienvenue!$G$11=1,INDEX('Clés de répartition'!$B$50:$B$65,Bienvenue!$G$10,1)*INDEX('Clés de répartition'!$D$134:$D$149,Bienvenue!$G$10,1),INDEX('Clés de répartition'!$B$67:$B$85,Bienvenue!$G$11-1,1)*INDEX('Clés de répartition'!$D$151:$D$169,Bienvenue!$G$11-1,1))+SUM(F5:H5)*IF(Bienvenue!$G$11=1,INDEX('Clés de répartition'!$C$50:$C$65,Bienvenue!$G$10,1)*INDEX('Clés de répartition'!$D$134:$D$149,Bienvenue!$G$10,1),INDEX('Clés de répartition'!$C$67:$C$85,Bienvenue!$G$11-1,1)*INDEX('Clés de répartition'!$D$151:$D$169,Bienvenue!$G$11-1,1))+SUM(I5:K5)*IF(Bienvenue!$G$11=1,INDEX('Clés de répartition'!$D$50:$D$65,Bienvenue!$G$10,1)*INDEX('Clés de répartition'!$D$134:$D$149,Bienvenue!$G$10,1),INDEX('Clés de répartition'!$D$67:$D$85,Bienvenue!$G$11-1,1)*INDEX('Clés de répartition'!$D$151:$D$169,Bienvenue!$G$11-1,1))+SUM(L5:N5)*IF(Bienvenue!$G$11=1,INDEX('Clés de répartition'!$E$50:$E$65,Bienvenue!$G$10,1)*INDEX('Clés de répartition'!$D$134:$D$149,Bienvenue!$G$10,1),INDEX('Clés de répartition'!$E$67:$E$85,Bienvenue!$G$11-1,1)*INDEX('Clés de répartition'!$D$151:$D$169,Bienvenue!$G$11-1,1)))/1000000</f>
        <v>298.89552880485383</v>
      </c>
    </row>
    <row r="6" spans="1:15">
      <c r="A6" s="644"/>
      <c r="B6" s="19" t="s">
        <v>27</v>
      </c>
      <c r="C6" s="180">
        <f>'Privé - Permis, etc'!C6</f>
        <v>255.37418498728292</v>
      </c>
      <c r="D6" s="106"/>
      <c r="E6" s="157"/>
      <c r="F6" s="158"/>
      <c r="G6" s="106"/>
      <c r="H6" s="157"/>
      <c r="I6" s="158"/>
      <c r="J6" s="106"/>
      <c r="K6" s="157"/>
      <c r="L6" s="106"/>
      <c r="M6" s="106"/>
      <c r="N6" s="157"/>
      <c r="O6" s="620" cm="1">
        <f t="array" ref="O6">(SUM(C6:E6)*IF(Bienvenue!$G$11=1,INDEX('Clés de répartition'!$B$50:$B$65,Bienvenue!$G$10,1)*INDEX('Clés de répartition'!$D$134:$D$149,Bienvenue!$G$10,1),INDEX('Clés de répartition'!$B$67:$B$85,Bienvenue!$G$11-1,1)*INDEX('Clés de répartition'!$D$151:$D$169,Bienvenue!$G$11-1,1))+SUM(F6:H6)*IF(Bienvenue!$G$11=1,INDEX('Clés de répartition'!$C$50:$C$65,Bienvenue!$G$10,1)*INDEX('Clés de répartition'!$D$134:$D$149,Bienvenue!$G$10,1),INDEX('Clés de répartition'!$C$67:$C$85,Bienvenue!$G$11-1,1)*INDEX('Clés de répartition'!$D$151:$D$169,Bienvenue!$G$11-1,1))+SUM(I6:K6)*IF(Bienvenue!$G$11=1,INDEX('Clés de répartition'!$D$50:$D$65,Bienvenue!$G$10,1)*INDEX('Clés de répartition'!$D$134:$D$149,Bienvenue!$G$10,1),INDEX('Clés de répartition'!$D$67:$D$85,Bienvenue!$G$11-1,1)*INDEX('Clés de répartition'!$D$151:$D$169,Bienvenue!$G$11-1,1))+SUM(L6:N6)*IF(Bienvenue!$G$11=1,INDEX('Clés de répartition'!$E$50:$E$65,Bienvenue!$G$10,1)*INDEX('Clés de répartition'!$D$134:$D$149,Bienvenue!$G$10,1),INDEX('Clés de répartition'!$E$67:$E$85,Bienvenue!$G$11-1,1)*INDEX('Clés de répartition'!$D$151:$D$169,Bienvenue!$G$11-1,1)))/1000000</f>
        <v>157.33513413298581</v>
      </c>
    </row>
    <row r="7" spans="1:15">
      <c r="A7" s="644"/>
      <c r="B7" s="19" t="s">
        <v>635</v>
      </c>
      <c r="C7" s="180">
        <f>'Caché - Accident'!B6</f>
        <v>88.126768393150229</v>
      </c>
      <c r="D7" s="106"/>
      <c r="E7" s="157"/>
      <c r="F7" s="180">
        <f>'Caché - Accident'!C6</f>
        <v>3.3660695771362823</v>
      </c>
      <c r="G7" s="106"/>
      <c r="H7" s="157"/>
      <c r="I7" s="180">
        <f>'Caché - Accident'!D6</f>
        <v>156.93299453011502</v>
      </c>
      <c r="J7" s="106"/>
      <c r="K7" s="157"/>
      <c r="L7" s="180">
        <f>'Caché - Accident'!E6</f>
        <v>202.33168345012874</v>
      </c>
      <c r="M7" s="106"/>
      <c r="N7" s="157"/>
      <c r="O7" s="620" cm="1">
        <f t="array" ref="O7">(SUM(C7:E7)*IF(Bienvenue!$G$11=1,INDEX('Clés de répartition'!$B$50:$B$65,Bienvenue!$G$10,1)*INDEX('Clés de répartition'!$D$134:$D$149,Bienvenue!$G$10,1),INDEX('Clés de répartition'!$B$67:$B$85,Bienvenue!$G$11-1,1)*INDEX('Clés de répartition'!$D$151:$D$169,Bienvenue!$G$11-1,1))+SUM(F7:H7)*IF(Bienvenue!$G$11=1,INDEX('Clés de répartition'!$C$50:$C$65,Bienvenue!$G$10,1)*INDEX('Clés de répartition'!$D$134:$D$149,Bienvenue!$G$10,1),INDEX('Clés de répartition'!$C$67:$C$85,Bienvenue!$G$11-1,1)*INDEX('Clés de répartition'!$D$151:$D$169,Bienvenue!$G$11-1,1))+SUM(I7:K7)*IF(Bienvenue!$G$11=1,INDEX('Clés de répartition'!$D$50:$D$65,Bienvenue!$G$10,1)*INDEX('Clés de répartition'!$D$134:$D$149,Bienvenue!$G$10,1),INDEX('Clés de répartition'!$D$67:$D$85,Bienvenue!$G$11-1,1)*INDEX('Clés de répartition'!$D$151:$D$169,Bienvenue!$G$11-1,1))+SUM(L7:N7)*IF(Bienvenue!$G$11=1,INDEX('Clés de répartition'!$E$50:$E$65,Bienvenue!$G$10,1)*INDEX('Clés de répartition'!$D$134:$D$149,Bienvenue!$G$10,1),INDEX('Clés de répartition'!$E$67:$E$85,Bienvenue!$G$11-1,1)*INDEX('Clés de répartition'!$D$151:$D$169,Bienvenue!$G$11-1,1)))/1000000</f>
        <v>96.343159999999997</v>
      </c>
    </row>
    <row r="8" spans="1:15">
      <c r="A8" s="644"/>
      <c r="B8" s="19" t="s">
        <v>6</v>
      </c>
      <c r="C8" s="180">
        <f>'Privé - Contravention'!B8</f>
        <v>148.60927102563187</v>
      </c>
      <c r="D8" s="106"/>
      <c r="E8" s="157"/>
      <c r="F8" s="180">
        <f>'Privé - Contravention'!C8</f>
        <v>0</v>
      </c>
      <c r="G8" s="106"/>
      <c r="H8" s="157"/>
      <c r="I8" s="180">
        <f>'Privé - Contravention'!D8</f>
        <v>42.744794332493043</v>
      </c>
      <c r="J8" s="106"/>
      <c r="K8" s="157"/>
      <c r="L8" s="180">
        <f>'Privé - Contravention'!E8</f>
        <v>15.089992199942513</v>
      </c>
      <c r="M8" s="106"/>
      <c r="N8" s="157"/>
      <c r="O8" s="620" cm="1">
        <f t="array" ref="O8">(SUM(C8:E8)*IF(Bienvenue!$G$11=1,INDEX('Clés de répartition'!$B$50:$B$65,Bienvenue!$G$10,1)*INDEX('Clés de répartition'!$D$134:$D$149,Bienvenue!$G$10,1),INDEX('Clés de répartition'!$B$67:$B$85,Bienvenue!$G$11-1,1)*INDEX('Clés de répartition'!$D$151:$D$169,Bienvenue!$G$11-1,1))+SUM(F8:H8)*IF(Bienvenue!$G$11=1,INDEX('Clés de répartition'!$C$50:$C$65,Bienvenue!$G$10,1)*INDEX('Clés de répartition'!$D$134:$D$149,Bienvenue!$G$10,1),INDEX('Clés de répartition'!$C$67:$C$85,Bienvenue!$G$11-1,1)*INDEX('Clés de répartition'!$D$151:$D$169,Bienvenue!$G$11-1,1))+SUM(I8:K8)*IF(Bienvenue!$G$11=1,INDEX('Clés de répartition'!$D$50:$D$65,Bienvenue!$G$10,1)*INDEX('Clés de répartition'!$D$134:$D$149,Bienvenue!$G$10,1),INDEX('Clés de répartition'!$D$67:$D$85,Bienvenue!$G$11-1,1)*INDEX('Clés de répartition'!$D$151:$D$169,Bienvenue!$G$11-1,1))+SUM(L8:N8)*IF(Bienvenue!$G$11=1,INDEX('Clés de répartition'!$E$50:$E$65,Bienvenue!$G$10,1)*INDEX('Clés de répartition'!$D$134:$D$149,Bienvenue!$G$10,1),INDEX('Clés de répartition'!$E$67:$E$85,Bienvenue!$G$11-1,1)*INDEX('Clés de répartition'!$D$151:$D$169,Bienvenue!$G$11-1,1)))/1000000</f>
        <v>96.006370420302034</v>
      </c>
    </row>
    <row r="9" spans="1:15">
      <c r="A9" s="644"/>
      <c r="B9" s="19" t="s">
        <v>7</v>
      </c>
      <c r="C9" s="183">
        <f>'Privé - Temps'!B8</f>
        <v>2167.4910009752771</v>
      </c>
      <c r="D9" s="106"/>
      <c r="E9" s="157"/>
      <c r="F9" s="183">
        <f>'Privé - Temps'!C8</f>
        <v>4412.430117475833</v>
      </c>
      <c r="G9" s="106"/>
      <c r="H9" s="157"/>
      <c r="I9" s="183">
        <f>'Privé - Temps'!D8</f>
        <v>2365.1523623886969</v>
      </c>
      <c r="J9" s="106"/>
      <c r="K9" s="157"/>
      <c r="L9" s="184">
        <f>'Privé - Temps'!E8</f>
        <v>1861.061134928606</v>
      </c>
      <c r="M9" s="106"/>
      <c r="N9" s="157"/>
      <c r="O9" s="620" cm="1">
        <f t="array" ref="O9">(SUM(C9:E9)*IF(Bienvenue!$G$11=1,INDEX('Clés de répartition'!$B$50:$B$65,Bienvenue!$G$10,1)*INDEX('Clés de répartition'!$D$134:$D$149,Bienvenue!$G$10,1),INDEX('Clés de répartition'!$B$67:$B$85,Bienvenue!$G$11-1,1)*INDEX('Clés de répartition'!$D$151:$D$169,Bienvenue!$G$11-1,1))+SUM(F9:H9)*IF(Bienvenue!$G$11=1,INDEX('Clés de répartition'!$C$50:$C$65,Bienvenue!$G$10,1)*INDEX('Clés de répartition'!$D$134:$D$149,Bienvenue!$G$10,1),INDEX('Clés de répartition'!$C$67:$C$85,Bienvenue!$G$11-1,1)*INDEX('Clés de répartition'!$D$151:$D$169,Bienvenue!$G$11-1,1))+SUM(I9:K9)*IF(Bienvenue!$G$11=1,INDEX('Clés de répartition'!$D$50:$D$65,Bienvenue!$G$10,1)*INDEX('Clés de répartition'!$D$134:$D$149,Bienvenue!$G$10,1),INDEX('Clés de répartition'!$D$67:$D$85,Bienvenue!$G$11-1,1)*INDEX('Clés de répartition'!$D$151:$D$169,Bienvenue!$G$11-1,1))+SUM(L9:N9)*IF(Bienvenue!$G$11=1,INDEX('Clés de répartition'!$E$50:$E$65,Bienvenue!$G$10,1)*INDEX('Clés de répartition'!$D$134:$D$149,Bienvenue!$G$10,1),INDEX('Clés de répartition'!$E$67:$E$85,Bienvenue!$G$11-1,1)*INDEX('Clés de répartition'!$D$151:$D$169,Bienvenue!$G$11-1,1)))/1000000</f>
        <v>4039.1800118778128</v>
      </c>
    </row>
    <row r="10" spans="1:15">
      <c r="A10" s="644" t="s">
        <v>39</v>
      </c>
      <c r="B10" s="19" t="s">
        <v>29</v>
      </c>
      <c r="C10" s="158"/>
      <c r="D10" s="185">
        <f>'Indirect - Prov. &amp; Féd.'!B8</f>
        <v>155.51443112853329</v>
      </c>
      <c r="E10" s="157"/>
      <c r="F10" s="158"/>
      <c r="G10" s="185">
        <f>'Indirect - Prov. &amp; Féd.'!C8</f>
        <v>3.2663251748016853</v>
      </c>
      <c r="H10" s="157"/>
      <c r="I10" s="158"/>
      <c r="J10" s="185">
        <f>'Indirect - Prov. &amp; Féd.'!D8</f>
        <v>11.701898151934483</v>
      </c>
      <c r="K10" s="157"/>
      <c r="L10" s="106"/>
      <c r="M10" s="106"/>
      <c r="N10" s="157"/>
      <c r="O10" s="620" cm="1">
        <f t="array" ref="O10">(SUM(C10:E10)*IF(Bienvenue!$G$11=1,INDEX('Clés de répartition'!$B$50:$B$65,Bienvenue!$G$10,1)*INDEX('Clés de répartition'!$D$134:$D$149,Bienvenue!$G$10,1),INDEX('Clés de répartition'!$B$67:$B$85,Bienvenue!$G$11-1,1)*INDEX('Clés de répartition'!$D$151:$D$169,Bienvenue!$G$11-1,1))+SUM(F10:H10)*IF(Bienvenue!$G$11=1,INDEX('Clés de répartition'!$C$50:$C$65,Bienvenue!$G$10,1)*INDEX('Clés de répartition'!$D$134:$D$149,Bienvenue!$G$10,1),INDEX('Clés de répartition'!$C$67:$C$85,Bienvenue!$G$11-1,1)*INDEX('Clés de répartition'!$D$151:$D$169,Bienvenue!$G$11-1,1))+SUM(I10:K10)*IF(Bienvenue!$G$11=1,INDEX('Clés de répartition'!$D$50:$D$65,Bienvenue!$G$10,1)*INDEX('Clés de répartition'!$D$134:$D$149,Bienvenue!$G$10,1),INDEX('Clés de répartition'!$D$67:$D$85,Bienvenue!$G$11-1,1)*INDEX('Clés de répartition'!$D$151:$D$169,Bienvenue!$G$11-1,1))+SUM(L10:N10)*IF(Bienvenue!$G$11=1,INDEX('Clés de répartition'!$E$50:$E$65,Bienvenue!$G$10,1)*INDEX('Clés de répartition'!$D$134:$D$149,Bienvenue!$G$10,1),INDEX('Clés de répartition'!$E$67:$E$85,Bienvenue!$G$11-1,1)*INDEX('Clés de répartition'!$D$151:$D$169,Bienvenue!$G$11-1,1)))/1000000</f>
        <v>98.051265259811132</v>
      </c>
    </row>
    <row r="11" spans="1:15">
      <c r="A11" s="644"/>
      <c r="B11" s="19" t="s">
        <v>28</v>
      </c>
      <c r="C11" s="158"/>
      <c r="D11" s="185">
        <f>'Indirect - Prov. &amp; Féd.'!B10</f>
        <v>934.08830600232091</v>
      </c>
      <c r="E11" s="157"/>
      <c r="F11" s="158"/>
      <c r="G11" s="185">
        <f>'Indirect - Prov. &amp; Féd.'!C10</f>
        <v>1010.4157150617327</v>
      </c>
      <c r="H11" s="157"/>
      <c r="I11" s="158"/>
      <c r="J11" s="185">
        <f>'Indirect - Prov. &amp; Féd.'!D10</f>
        <v>6.4365502231669218</v>
      </c>
      <c r="K11" s="157"/>
      <c r="L11" s="106"/>
      <c r="M11" s="106"/>
      <c r="N11" s="157"/>
      <c r="O11" s="620" cm="1">
        <f t="array" ref="O11">(SUM(C11:E11)*IF(Bienvenue!$G$11=1,INDEX('Clés de répartition'!$B$50:$B$65,Bienvenue!$G$10,1)*INDEX('Clés de répartition'!$D$134:$D$149,Bienvenue!$G$10,1),INDEX('Clés de répartition'!$B$67:$B$85,Bienvenue!$G$11-1,1)*INDEX('Clés de répartition'!$D$151:$D$169,Bienvenue!$G$11-1,1))+SUM(F11:H11)*IF(Bienvenue!$G$11=1,INDEX('Clés de répartition'!$C$50:$C$65,Bienvenue!$G$10,1)*INDEX('Clés de répartition'!$D$134:$D$149,Bienvenue!$G$10,1),INDEX('Clés de répartition'!$C$67:$C$85,Bienvenue!$G$11-1,1)*INDEX('Clés de répartition'!$D$151:$D$169,Bienvenue!$G$11-1,1))+SUM(I11:K11)*IF(Bienvenue!$G$11=1,INDEX('Clés de répartition'!$D$50:$D$65,Bienvenue!$G$10,1)*INDEX('Clés de répartition'!$D$134:$D$149,Bienvenue!$G$10,1),INDEX('Clés de répartition'!$D$67:$D$85,Bienvenue!$G$11-1,1)*INDEX('Clés de répartition'!$D$151:$D$169,Bienvenue!$G$11-1,1))+SUM(L11:N11)*IF(Bienvenue!$G$11=1,INDEX('Clés de répartition'!$E$50:$E$65,Bienvenue!$G$10,1)*INDEX('Clés de répartition'!$D$134:$D$149,Bienvenue!$G$10,1),INDEX('Clés de répartition'!$E$67:$E$85,Bienvenue!$G$11-1,1)*INDEX('Clés de répartition'!$D$151:$D$169,Bienvenue!$G$11-1,1)))/1000000</f>
        <v>1100.2399827119598</v>
      </c>
    </row>
    <row r="12" spans="1:15">
      <c r="A12" s="644"/>
      <c r="B12" s="19" t="s">
        <v>30</v>
      </c>
      <c r="C12" s="158"/>
      <c r="D12" s="186">
        <f>'Indirect - Villes'!B6</f>
        <v>1328.038005649958</v>
      </c>
      <c r="E12" s="157"/>
      <c r="F12" s="158"/>
      <c r="G12" s="186">
        <f>'Indirect - Villes'!C6</f>
        <v>918.81249695826955</v>
      </c>
      <c r="H12" s="157"/>
      <c r="I12" s="158"/>
      <c r="J12" s="186">
        <f>'Indirect - Villes'!D6</f>
        <v>696.17637698975477</v>
      </c>
      <c r="K12" s="157"/>
      <c r="L12" s="106"/>
      <c r="M12" s="186">
        <f>'Indirect - Villes'!E6</f>
        <v>154.13168862938875</v>
      </c>
      <c r="N12" s="157"/>
      <c r="O12" s="620" cm="1">
        <f t="array" ref="O12">(SUM(C12:E12)*IF(Bienvenue!$G$11=1,INDEX('Clés de répartition'!$B$50:$B$65,Bienvenue!$G$10,1)*INDEX('Clés de répartition'!$D$134:$D$149,Bienvenue!$G$10,1),INDEX('Clés de répartition'!$B$67:$B$85,Bienvenue!$G$11-1,1)*INDEX('Clés de répartition'!$D$151:$D$169,Bienvenue!$G$11-1,1))+SUM(F12:H12)*IF(Bienvenue!$G$11=1,INDEX('Clés de répartition'!$C$50:$C$65,Bienvenue!$G$10,1)*INDEX('Clés de répartition'!$D$134:$D$149,Bienvenue!$G$10,1),INDEX('Clés de répartition'!$C$67:$C$85,Bienvenue!$G$11-1,1)*INDEX('Clés de répartition'!$D$151:$D$169,Bienvenue!$G$11-1,1))+SUM(I12:K12)*IF(Bienvenue!$G$11=1,INDEX('Clés de répartition'!$D$50:$D$65,Bienvenue!$G$10,1)*INDEX('Clés de répartition'!$D$134:$D$149,Bienvenue!$G$10,1),INDEX('Clés de répartition'!$D$67:$D$85,Bienvenue!$G$11-1,1)*INDEX('Clés de répartition'!$D$151:$D$169,Bienvenue!$G$11-1,1))+SUM(L12:N12)*IF(Bienvenue!$G$11=1,INDEX('Clés de répartition'!$E$50:$E$65,Bienvenue!$G$10,1)*INDEX('Clés de répartition'!$D$134:$D$149,Bienvenue!$G$10,1),INDEX('Clés de répartition'!$E$67:$E$85,Bienvenue!$G$11-1,1)*INDEX('Clés de répartition'!$D$151:$D$169,Bienvenue!$G$11-1,1)))/1000000</f>
        <v>1352.6126110256866</v>
      </c>
    </row>
    <row r="13" spans="1:15">
      <c r="A13" s="644"/>
      <c r="B13" s="19" t="s">
        <v>31</v>
      </c>
      <c r="C13" s="158"/>
      <c r="D13" s="186">
        <f>'Indirect - Villes'!B7</f>
        <v>432.28628715548291</v>
      </c>
      <c r="E13" s="157"/>
      <c r="F13" s="158"/>
      <c r="G13" s="186">
        <f>'Indirect - Villes'!C7</f>
        <v>34.973689282857599</v>
      </c>
      <c r="H13" s="157"/>
      <c r="I13" s="158"/>
      <c r="J13" s="186">
        <f>'Indirect - Villes'!D7</f>
        <v>71.748050019198928</v>
      </c>
      <c r="K13" s="157"/>
      <c r="L13" s="106"/>
      <c r="M13" s="186">
        <f>'Indirect - Villes'!E7</f>
        <v>55.791450063434027</v>
      </c>
      <c r="N13" s="157"/>
      <c r="O13" s="620" cm="1">
        <f t="array" ref="O13">(SUM(C13:E13)*IF(Bienvenue!$G$11=1,INDEX('Clés de répartition'!$B$50:$B$65,Bienvenue!$G$10,1)*INDEX('Clés de répartition'!$D$134:$D$149,Bienvenue!$G$10,1),INDEX('Clés de répartition'!$B$67:$B$85,Bienvenue!$G$11-1,1)*INDEX('Clés de répartition'!$D$151:$D$169,Bienvenue!$G$11-1,1))+SUM(F13:H13)*IF(Bienvenue!$G$11=1,INDEX('Clés de répartition'!$C$50:$C$65,Bienvenue!$G$10,1)*INDEX('Clés de répartition'!$D$134:$D$149,Bienvenue!$G$10,1),INDEX('Clés de répartition'!$C$67:$C$85,Bienvenue!$G$11-1,1)*INDEX('Clés de répartition'!$D$151:$D$169,Bienvenue!$G$11-1,1))+SUM(I13:K13)*IF(Bienvenue!$G$11=1,INDEX('Clés de répartition'!$D$50:$D$65,Bienvenue!$G$10,1)*INDEX('Clés de répartition'!$D$134:$D$149,Bienvenue!$G$10,1),INDEX('Clés de répartition'!$D$67:$D$85,Bienvenue!$G$11-1,1)*INDEX('Clés de répartition'!$D$151:$D$169,Bienvenue!$G$11-1,1))+SUM(L13:N13)*IF(Bienvenue!$G$11=1,INDEX('Clés de répartition'!$E$50:$E$65,Bienvenue!$G$10,1)*INDEX('Clés de répartition'!$D$134:$D$149,Bienvenue!$G$10,1),INDEX('Clés de répartition'!$E$67:$E$85,Bienvenue!$G$11-1,1)*INDEX('Clés de répartition'!$D$151:$D$169,Bienvenue!$G$11-1,1)))/1000000</f>
        <v>296.91957525436948</v>
      </c>
    </row>
    <row r="14" spans="1:15">
      <c r="A14" s="644"/>
      <c r="B14" s="19" t="s">
        <v>33</v>
      </c>
      <c r="C14" s="180">
        <f>'Privé - Permis, etc'!C7</f>
        <v>43.685378608522022</v>
      </c>
      <c r="D14" s="106"/>
      <c r="E14" s="157"/>
      <c r="F14" s="158"/>
      <c r="G14" s="185">
        <f>'Privé&amp;Indirect - ARTM'!C8</f>
        <v>575.85555077116078</v>
      </c>
      <c r="H14" s="157"/>
      <c r="I14" s="158"/>
      <c r="J14" s="106"/>
      <c r="K14" s="157"/>
      <c r="L14" s="106"/>
      <c r="M14" s="106"/>
      <c r="N14" s="157"/>
      <c r="O14" s="620" cm="1">
        <f t="array" ref="O14">(SUM(C14:E14)*IF(Bienvenue!$G$11=1,INDEX('Clés de répartition'!$B$50:$B$65,Bienvenue!$G$10,1)*INDEX('Clés de répartition'!$D$134:$D$149,Bienvenue!$G$10,1),INDEX('Clés de répartition'!$B$67:$B$85,Bienvenue!$G$11-1,1)*INDEX('Clés de répartition'!$D$151:$D$169,Bienvenue!$G$11-1,1))+SUM(F14:H14)*IF(Bienvenue!$G$11=1,INDEX('Clés de répartition'!$C$50:$C$65,Bienvenue!$G$10,1)*INDEX('Clés de répartition'!$D$134:$D$149,Bienvenue!$G$10,1),INDEX('Clés de répartition'!$C$67:$C$85,Bienvenue!$G$11-1,1)*INDEX('Clés de répartition'!$D$151:$D$169,Bienvenue!$G$11-1,1))+SUM(I14:K14)*IF(Bienvenue!$G$11=1,INDEX('Clés de répartition'!$D$50:$D$65,Bienvenue!$G$10,1)*INDEX('Clés de répartition'!$D$134:$D$149,Bienvenue!$G$10,1),INDEX('Clés de répartition'!$D$67:$D$85,Bienvenue!$G$11-1,1)*INDEX('Clés de répartition'!$D$151:$D$169,Bienvenue!$G$11-1,1))+SUM(L14:N14)*IF(Bienvenue!$G$11=1,INDEX('Clés de répartition'!$E$50:$E$65,Bienvenue!$G$10,1)*INDEX('Clés de répartition'!$D$134:$D$149,Bienvenue!$G$10,1),INDEX('Clés de répartition'!$E$67:$E$85,Bienvenue!$G$11-1,1)*INDEX('Clés de répartition'!$D$151:$D$169,Bienvenue!$G$11-1,1)))/1000000</f>
        <v>325.80993639606879</v>
      </c>
    </row>
    <row r="15" spans="1:15">
      <c r="A15" s="644" t="s">
        <v>36</v>
      </c>
      <c r="B15" s="19" t="s">
        <v>37</v>
      </c>
      <c r="C15" s="158"/>
      <c r="D15" s="106"/>
      <c r="E15" s="188">
        <f>'Caché - GES'!B11</f>
        <v>678.81993073148044</v>
      </c>
      <c r="F15" s="158"/>
      <c r="G15" s="106"/>
      <c r="H15" s="178">
        <f>'Caché - GES'!C9</f>
        <v>71.905050819337447</v>
      </c>
      <c r="I15" s="374"/>
      <c r="J15" s="106"/>
      <c r="K15" s="157"/>
      <c r="L15" s="106"/>
      <c r="M15" s="106"/>
      <c r="N15" s="157"/>
      <c r="O15" s="620" cm="1">
        <f t="array" ref="O15">(SUM(C15:E15)*IF(Bienvenue!$G$11=1,INDEX('Clés de répartition'!$B$50:$B$65,Bienvenue!$G$10,1)*INDEX('Clés de répartition'!$D$134:$D$149,Bienvenue!$G$10,1),INDEX('Clés de répartition'!$B$67:$B$85,Bienvenue!$G$11-1,1)*INDEX('Clés de répartition'!$D$151:$D$169,Bienvenue!$G$11-1,1))+SUM(F15:H15)*IF(Bienvenue!$G$11=1,INDEX('Clés de répartition'!$C$50:$C$65,Bienvenue!$G$10,1)*INDEX('Clés de répartition'!$D$134:$D$149,Bienvenue!$G$10,1),INDEX('Clés de répartition'!$C$67:$C$85,Bienvenue!$G$11-1,1)*INDEX('Clés de répartition'!$D$151:$D$169,Bienvenue!$G$11-1,1))+SUM(I15:K15)*IF(Bienvenue!$G$11=1,INDEX('Clés de répartition'!$D$50:$D$65,Bienvenue!$G$10,1)*INDEX('Clés de répartition'!$D$134:$D$149,Bienvenue!$G$10,1),INDEX('Clés de répartition'!$D$67:$D$85,Bienvenue!$G$11-1,1)*INDEX('Clés de répartition'!$D$151:$D$169,Bienvenue!$G$11-1,1))+SUM(L15:N15)*IF(Bienvenue!$G$11=1,INDEX('Clés de répartition'!$E$50:$E$65,Bienvenue!$G$10,1)*INDEX('Clés de répartition'!$D$134:$D$149,Bienvenue!$G$10,1),INDEX('Clés de répartition'!$E$67:$E$85,Bienvenue!$G$11-1,1)*INDEX('Clés de répartition'!$D$151:$D$169,Bienvenue!$G$11-1,1)))/1000000</f>
        <v>455.54059379050739</v>
      </c>
    </row>
    <row r="16" spans="1:15">
      <c r="A16" s="644"/>
      <c r="B16" s="19" t="s">
        <v>38</v>
      </c>
      <c r="C16" s="158"/>
      <c r="D16" s="106"/>
      <c r="E16" s="403">
        <f>'Caché - Congestion'!C15</f>
        <v>2053.8338069208912</v>
      </c>
      <c r="F16" s="345"/>
      <c r="G16" s="106"/>
      <c r="H16" s="178">
        <f>'Caché - Congestion'!E13</f>
        <v>57.237326414306992</v>
      </c>
      <c r="I16" s="374"/>
      <c r="J16" s="106"/>
      <c r="K16" s="157"/>
      <c r="L16" s="106"/>
      <c r="M16" s="106"/>
      <c r="N16" s="157"/>
      <c r="O16" s="620" cm="1">
        <f t="array" ref="O16">(SUM(C16:E16)*IF(Bienvenue!$G$11=1,INDEX('Clés de répartition'!$B$50:$B$65,Bienvenue!$G$10,1)*INDEX('Clés de répartition'!$D$134:$D$149,Bienvenue!$G$10,1),INDEX('Clés de répartition'!$B$67:$B$85,Bienvenue!$G$11-1,1)*INDEX('Clés de répartition'!$D$151:$D$169,Bienvenue!$G$11-1,1))+SUM(F16:H16)*IF(Bienvenue!$G$11=1,INDEX('Clés de répartition'!$C$50:$C$65,Bienvenue!$G$10,1)*INDEX('Clés de répartition'!$D$134:$D$149,Bienvenue!$G$10,1),INDEX('Clés de répartition'!$C$67:$C$85,Bienvenue!$G$11-1,1)*INDEX('Clés de répartition'!$D$151:$D$169,Bienvenue!$G$11-1,1))+SUM(I16:K16)*IF(Bienvenue!$G$11=1,INDEX('Clés de répartition'!$D$50:$D$65,Bienvenue!$G$10,1)*INDEX('Clés de répartition'!$D$134:$D$149,Bienvenue!$G$10,1),INDEX('Clés de répartition'!$D$67:$D$85,Bienvenue!$G$11-1,1)*INDEX('Clés de répartition'!$D$151:$D$169,Bienvenue!$G$11-1,1))+SUM(L16:N16)*IF(Bienvenue!$G$11=1,INDEX('Clés de répartition'!$E$50:$E$65,Bienvenue!$G$10,1)*INDEX('Clés de répartition'!$D$134:$D$149,Bienvenue!$G$10,1),INDEX('Clés de répartition'!$E$67:$E$85,Bienvenue!$G$11-1,1)*INDEX('Clés de répartition'!$D$151:$D$169,Bienvenue!$G$11-1,1)))/1000000</f>
        <v>1295.068566466841</v>
      </c>
    </row>
    <row r="17" spans="1:15">
      <c r="A17" s="644"/>
      <c r="B17" s="19" t="s">
        <v>636</v>
      </c>
      <c r="C17" s="158"/>
      <c r="D17" s="106"/>
      <c r="E17" s="188">
        <f>'Caché - Accident'!B7</f>
        <v>1674.0990702518939</v>
      </c>
      <c r="F17" s="158"/>
      <c r="G17" s="106"/>
      <c r="H17" s="188">
        <f>'Caché - Accident'!C7</f>
        <v>38.111270532249712</v>
      </c>
      <c r="I17" s="374"/>
      <c r="J17" s="106"/>
      <c r="K17" s="188">
        <f>'Caché - Accident'!D7</f>
        <v>32.097511581101905</v>
      </c>
      <c r="L17" s="106"/>
      <c r="M17" s="106"/>
      <c r="N17" s="188">
        <f>'Caché - Accident'!E7</f>
        <v>28.7420362406652</v>
      </c>
      <c r="O17" s="620" cm="1">
        <f t="array" ref="O17">(SUM(C17:E17)*IF(Bienvenue!$G$11=1,INDEX('Clés de répartition'!$B$50:$B$65,Bienvenue!$G$10,1)*INDEX('Clés de répartition'!$D$134:$D$149,Bienvenue!$G$10,1),INDEX('Clés de répartition'!$B$67:$B$85,Bienvenue!$G$11-1,1)*INDEX('Clés de répartition'!$D$151:$D$169,Bienvenue!$G$11-1,1))+SUM(F17:H17)*IF(Bienvenue!$G$11=1,INDEX('Clés de répartition'!$C$50:$C$65,Bienvenue!$G$10,1)*INDEX('Clés de répartition'!$D$134:$D$149,Bienvenue!$G$10,1),INDEX('Clés de répartition'!$C$67:$C$85,Bienvenue!$G$11-1,1)*INDEX('Clés de répartition'!$D$151:$D$169,Bienvenue!$G$11-1,1))+SUM(I17:K17)*IF(Bienvenue!$G$11=1,INDEX('Clés de répartition'!$D$50:$D$65,Bienvenue!$G$10,1)*INDEX('Clés de répartition'!$D$134:$D$149,Bienvenue!$G$10,1),INDEX('Clés de répartition'!$D$67:$D$85,Bienvenue!$G$11-1,1)*INDEX('Clés de répartition'!$D$151:$D$169,Bienvenue!$G$11-1,1))+SUM(L17:N17)*IF(Bienvenue!$G$11=1,INDEX('Clés de répartition'!$E$50:$E$65,Bienvenue!$G$10,1)*INDEX('Clés de répartition'!$D$134:$D$149,Bienvenue!$G$10,1),INDEX('Clés de répartition'!$E$67:$E$85,Bienvenue!$G$11-1,1)*INDEX('Clés de répartition'!$D$151:$D$169,Bienvenue!$G$11-1,1)))/1000000</f>
        <v>1057.368808380885</v>
      </c>
    </row>
    <row r="18" spans="1:15">
      <c r="A18" s="644"/>
      <c r="B18" s="19" t="s">
        <v>22</v>
      </c>
      <c r="C18" s="158"/>
      <c r="D18" s="106"/>
      <c r="E18" s="187">
        <f>'Caché - Emprise spatiale'!B7+'Caché - Emprise spatiale'!B8</f>
        <v>2012.7505374236985</v>
      </c>
      <c r="F18" s="158"/>
      <c r="G18" s="106"/>
      <c r="H18" s="187">
        <f>'Caché - Emprise spatiale'!C7</f>
        <v>265.89170504895156</v>
      </c>
      <c r="I18" s="374"/>
      <c r="J18" s="106"/>
      <c r="K18" s="187">
        <f>'Caché - Emprise spatiale'!D7</f>
        <v>737.47473660951164</v>
      </c>
      <c r="L18" s="106"/>
      <c r="M18" s="106"/>
      <c r="N18" s="187">
        <f>'Caché - Emprise spatiale'!E7</f>
        <v>501.98833941476369</v>
      </c>
      <c r="O18" s="620" cm="1">
        <f t="array" ref="O18">(SUM(C18:E18)*IF(Bienvenue!$G$11=1,INDEX('Clés de répartition'!$B$50:$B$65,Bienvenue!$G$10,1)*INDEX('Clés de répartition'!$D$134:$D$149,Bienvenue!$G$10,1),INDEX('Clés de répartition'!$B$67:$B$85,Bienvenue!$G$11-1,1)*INDEX('Clés de répartition'!$D$151:$D$169,Bienvenue!$G$11-1,1))+SUM(F18:H18)*IF(Bienvenue!$G$11=1,INDEX('Clés de répartition'!$C$50:$C$65,Bienvenue!$G$10,1)*INDEX('Clés de répartition'!$D$134:$D$149,Bienvenue!$G$10,1),INDEX('Clés de répartition'!$C$67:$C$85,Bienvenue!$G$11-1,1)*INDEX('Clés de répartition'!$D$151:$D$169,Bienvenue!$G$11-1,1))+SUM(I18:K18)*IF(Bienvenue!$G$11=1,INDEX('Clés de répartition'!$D$50:$D$65,Bienvenue!$G$10,1)*INDEX('Clés de répartition'!$D$134:$D$149,Bienvenue!$G$10,1),INDEX('Clés de répartition'!$D$67:$D$85,Bienvenue!$G$11-1,1)*INDEX('Clés de répartition'!$D$151:$D$169,Bienvenue!$G$11-1,1))+SUM(L18:N18)*IF(Bienvenue!$G$11=1,INDEX('Clés de répartition'!$E$50:$E$65,Bienvenue!$G$10,1)*INDEX('Clés de répartition'!$D$134:$D$149,Bienvenue!$G$10,1),INDEX('Clés de répartition'!$E$67:$E$85,Bienvenue!$G$11-1,1)*INDEX('Clés de répartition'!$D$151:$D$169,Bienvenue!$G$11-1,1)))/1000000</f>
        <v>1494.2305774407271</v>
      </c>
    </row>
    <row r="19" spans="1:15">
      <c r="A19" s="644"/>
      <c r="B19" s="19" t="s">
        <v>23</v>
      </c>
      <c r="C19" s="158"/>
      <c r="D19" s="345"/>
      <c r="E19" s="157"/>
      <c r="F19" s="158"/>
      <c r="G19" s="345"/>
      <c r="H19" s="188">
        <f>-'Caché - Santé'!C9</f>
        <v>-527.58383061384006</v>
      </c>
      <c r="I19" s="374"/>
      <c r="J19" s="345"/>
      <c r="K19" s="346">
        <f>-'Caché - Santé'!D9</f>
        <v>-1893.2700931294048</v>
      </c>
      <c r="L19" s="345"/>
      <c r="M19" s="345"/>
      <c r="N19" s="346">
        <f>-'Caché - Santé'!E9</f>
        <v>-768.41290114779167</v>
      </c>
      <c r="O19" s="621" cm="1">
        <f t="array" ref="O19">(SUM(C19:E19)*IF(Bienvenue!$G$11=1,INDEX('Clés de répartition'!$B$50:$B$65,Bienvenue!$G$10,1)*INDEX('Clés de répartition'!$D$134:$D$149,Bienvenue!$G$10,1),INDEX('Clés de répartition'!$B$67:$B$85,Bienvenue!$G$11-1,1)*INDEX('Clés de répartition'!$D$151:$D$169,Bienvenue!$G$11-1,1))+SUM(F19:H19)*IF(Bienvenue!$G$11=1,INDEX('Clés de répartition'!$C$50:$C$65,Bienvenue!$G$10,1)*INDEX('Clés de répartition'!$D$134:$D$149,Bienvenue!$G$10,1),INDEX('Clés de répartition'!$C$67:$C$85,Bienvenue!$G$11-1,1)*INDEX('Clés de répartition'!$D$151:$D$169,Bienvenue!$G$11-1,1))+SUM(I19:K19)*IF(Bienvenue!$G$11=1,INDEX('Clés de répartition'!$D$50:$D$65,Bienvenue!$G$10,1)*INDEX('Clés de répartition'!$D$134:$D$149,Bienvenue!$G$10,1),INDEX('Clés de répartition'!$D$67:$D$85,Bienvenue!$G$11-1,1)*INDEX('Clés de répartition'!$D$151:$D$169,Bienvenue!$G$11-1,1))+SUM(L19:N19)*IF(Bienvenue!$G$11=1,INDEX('Clés de répartition'!$E$50:$E$65,Bienvenue!$G$10,1)*INDEX('Clés de répartition'!$D$134:$D$149,Bienvenue!$G$10,1),INDEX('Clés de répartition'!$E$67:$E$85,Bienvenue!$G$11-1,1)*INDEX('Clés de répartition'!$D$151:$D$169,Bienvenue!$G$11-1,1)))/1000000</f>
        <v>-487.20437240536512</v>
      </c>
    </row>
    <row r="20" spans="1:15">
      <c r="A20" s="645" t="s">
        <v>660</v>
      </c>
      <c r="B20" s="646"/>
      <c r="C20" s="406">
        <f>SUM(C4:C19)</f>
        <v>5976.1963556096825</v>
      </c>
      <c r="D20" s="407">
        <f>SUM(D4:D19)</f>
        <v>2849.9270299362952</v>
      </c>
      <c r="E20" s="408">
        <f>SUM(E4:E19)</f>
        <v>6419.5033453279648</v>
      </c>
      <c r="F20" s="411">
        <f t="shared" ref="F20:N20" si="0">SUM(F4:F19)</f>
        <v>4991.6517378241297</v>
      </c>
      <c r="G20" s="412">
        <f t="shared" si="0"/>
        <v>2543.3237772488219</v>
      </c>
      <c r="H20" s="413">
        <f>SUM(H4:H19)</f>
        <v>-94.43847779899437</v>
      </c>
      <c r="I20" s="415">
        <f t="shared" si="0"/>
        <v>2769.903951251305</v>
      </c>
      <c r="J20" s="416">
        <f t="shared" si="0"/>
        <v>786.06287538405513</v>
      </c>
      <c r="K20" s="417">
        <f t="shared" si="0"/>
        <v>-1123.6978449387911</v>
      </c>
      <c r="L20" s="420">
        <f t="shared" si="0"/>
        <v>2078.4828105786773</v>
      </c>
      <c r="M20" s="421">
        <f t="shared" si="0"/>
        <v>209.92313869282276</v>
      </c>
      <c r="N20" s="422">
        <f t="shared" si="0"/>
        <v>-237.68252549236274</v>
      </c>
      <c r="O20" s="109"/>
    </row>
    <row r="21" spans="1:15">
      <c r="A21" s="647" t="s">
        <v>659</v>
      </c>
      <c r="B21" s="647"/>
      <c r="C21" s="409" cm="1">
        <f t="array" ref="C21">(C20)/(IF(Bienvenue!G11=1,INDEX('Clés de répartition'!F93:I108,Bienvenue!G10,1),INDEX('Clés de répartition'!F110:I128,Bienvenue!G11-1,1))*2*'Privé - Temps'!$B$11)</f>
        <v>0.97141374069378739</v>
      </c>
      <c r="D21" s="161" cm="1">
        <f t="array" ref="D21">D20/(IF(Bienvenue!G11=1,INDEX('Clés de répartition'!F93:I108,Bienvenue!G10,1),INDEX('Clés de répartition'!F110:I128,Bienvenue!G11-1,1))*2*'Privé - Temps'!$B$11)</f>
        <v>0.46324754277126123</v>
      </c>
      <c r="E21" s="162" cm="1">
        <f t="array" ref="E21">E20/(IF(Bienvenue!G11=1,INDEX('Clés de répartition'!F93:I108,Bienvenue!G10,1),INDEX('Clés de répartition'!F110:I128,Bienvenue!G11-1,1))*2*'Privé - Temps'!$B$11)</f>
        <v>1.0434720325458806</v>
      </c>
      <c r="F21" s="367" cm="1">
        <f t="array" ref="F21">F20/(IF(Bienvenue!G11=1,INDEX('Clés de répartition'!F93:I108,Bienvenue!G10,2),INDEX('Clés de répartition'!F110:I128,Bienvenue!G11-1,2))*2*'Privé - Temps'!$B$11)</f>
        <v>1.03808446956941</v>
      </c>
      <c r="G21" s="368" cm="1">
        <f t="array" ref="G21">G20/(IF(Bienvenue!G11=1,INDEX('Clés de répartition'!F93:I108,Bienvenue!G10,2),INDEX('Clés de répartition'!F110:I128,Bienvenue!G11-1,2))*2*'Privé - Temps'!$B$11)</f>
        <v>0.52892009557531217</v>
      </c>
      <c r="H21" s="369" cm="1">
        <f t="array" ref="H21">H20/(IF(Bienvenue!G11=1,INDEX('Clés de répartition'!F93:I108,Bienvenue!G10,2),INDEX('Clés de répartition'!F110:I128,Bienvenue!G11-1,2))*2*'Privé - Temps'!$B$11)</f>
        <v>-1.9639815091676501E-2</v>
      </c>
      <c r="I21" s="418" cm="1">
        <f t="array" ref="I21">I20/(IF(Bienvenue!G11=1,INDEX('Clés de répartition'!F93:I108,Bienvenue!G10,3),INDEX('Clés de répartition'!F110:I128,Bienvenue!G11-1,3))*2*'Privé - Temps'!$B$11)</f>
        <v>1.0615448101680744</v>
      </c>
      <c r="J21" s="370" cm="1">
        <f t="array" ref="J21">J20/(IF(Bienvenue!G11=1,INDEX('Clés de répartition'!F93:I108,Bienvenue!G10,3),INDEX('Clés de répartition'!F110:I128,Bienvenue!G11-1,3))*2*'Privé - Temps'!$B$11)</f>
        <v>0.30125267175880904</v>
      </c>
      <c r="K21" s="419" cm="1">
        <f t="array" ref="K21">K20/(IF(Bienvenue!G11=1,INDEX('Clés de répartition'!F93:I108,Bienvenue!G10,3),INDEX('Clés de répartition'!F110:I128,Bienvenue!G11-1,3))*2*'Privé - Temps'!$B$11)</f>
        <v>-0.4306487287954337</v>
      </c>
      <c r="L21" s="423" cm="1">
        <f t="array" ref="L21">L20/(IF(Bienvenue!G11=1,INDEX('Clés de répartition'!F93:I108,Bienvenue!G10,4),INDEX('Clés de répartition'!F110:I128,Bienvenue!G11-1,4))*2*'Privé - Temps'!$B$11)</f>
        <v>3.6591369089094856</v>
      </c>
      <c r="M21" s="371" cm="1">
        <f t="array" ref="M21">M20/(IF(Bienvenue!G11=1,INDEX('Clés de répartition'!F93:I108,Bienvenue!G10,4),INDEX('Clés de répartition'!F110:I128,Bienvenue!G11-1,4))*2*'Privé - Temps'!$B$11)</f>
        <v>0.36956644573412323</v>
      </c>
      <c r="N21" s="424" cm="1">
        <f t="array" ref="N21">N20/(IF(Bienvenue!G11=1,INDEX('Clés de répartition'!F93:I108,Bienvenue!G10,4),INDEX('Clés de répartition'!F110:I128,Bienvenue!G11-1,4))*2*'Privé - Temps'!$B$11)</f>
        <v>-0.41843641775886736</v>
      </c>
      <c r="O21" s="109"/>
    </row>
    <row r="22" spans="1:15">
      <c r="A22" s="639" t="s">
        <v>760</v>
      </c>
      <c r="B22" s="640"/>
      <c r="C22" s="450" cm="1">
        <f t="array" ref="C22">C20*IF(Bienvenue!$G$11=1,INDEX('Clés de répartition'!$B$50:$B$65,Bienvenue!$G$10,1)*INDEX('Clés de répartition'!$D$134:$D$149,Bienvenue!$G$10,1),INDEX('Clés de répartition'!$B$67:$B$85,Bienvenue!$G$11-1,1)*INDEX('Clés de répartition'!$D$151:$D$169,Bienvenue!$G$11-1,1))/1000000</f>
        <v>3681.9134841751275</v>
      </c>
      <c r="D22" s="451" cm="1">
        <f t="array" ref="D22">D20*IF(Bienvenue!$G$11=1,INDEX('Clés de répartition'!$B$50:$B$65,Bienvenue!$G$10,1)*INDEX('Clés de répartition'!$D$134:$D$149,Bienvenue!$G$10,1),INDEX('Clés de répartition'!$B$67:$B$85,Bienvenue!$G$11-1,1)*INDEX('Clés de répartition'!$D$151:$D$169,Bienvenue!$G$11-1,1))/1000000</f>
        <v>1755.8299855037342</v>
      </c>
      <c r="E22" s="452" cm="1">
        <f t="array" ref="E22">E20*IF(Bienvenue!$G$11=1,INDEX('Clés de répartition'!$B$50:$B$65,Bienvenue!$G$10,1)*INDEX('Clés de répartition'!$D$134:$D$149,Bienvenue!$G$10,1),INDEX('Clés de répartition'!$B$67:$B$85,Bienvenue!$G$11-1,1)*INDEX('Clés de répartition'!$D$151:$D$169,Bienvenue!$G$11-1,1))/1000000</f>
        <v>3955.0333560716908</v>
      </c>
      <c r="F22" s="453" cm="1">
        <f t="array" ref="F22">F20*IF(Bienvenue!$G$11=1,INDEX('Clés de répartition'!$C$50:$C$65,Bienvenue!$G$10,1)*INDEX('Clés de répartition'!$D$134:$D$149,Bienvenue!$G$10,1),INDEX('Clés de répartition'!$C$67:$C$85,Bienvenue!$G$11-1,1)*INDEX('Clés de répartition'!$D$151:$D$169,Bienvenue!$G$11-1,1))/1000000</f>
        <v>2590.8969424513016</v>
      </c>
      <c r="G22" s="454" cm="1">
        <f t="array" ref="G22">G20*IF(Bienvenue!$G$11=1,INDEX('Clés de répartition'!$C$50:$C$65,Bienvenue!$G$10,1)*INDEX('Clés de répartition'!$D$134:$D$149,Bienvenue!$G$10,1),INDEX('Clés de répartition'!$C$67:$C$85,Bienvenue!$G$11-1,1)*INDEX('Clés de répartition'!$D$151:$D$169,Bienvenue!$G$11-1,1))/1000000</f>
        <v>1320.1020712655004</v>
      </c>
      <c r="H22" s="455" cm="1">
        <f t="array" ref="H22">H20*IF(Bienvenue!$G$11=1,INDEX('Clés de répartition'!$C$50:$C$65,Bienvenue!$G$10,1)*INDEX('Clés de répartition'!$D$134:$D$149,Bienvenue!$G$10,1),INDEX('Clés de répartition'!$C$67:$C$85,Bienvenue!$G$11-1,1)*INDEX('Clés de répartition'!$D$151:$D$169,Bienvenue!$G$11-1,1))/1000000</f>
        <v>-49.017915557912353</v>
      </c>
      <c r="I22" s="456" cm="1">
        <f t="array" ref="I22">I20*IF(Bienvenue!$G$11=1,INDEX('Clés de répartition'!$D$50:$D$65,Bienvenue!$G$10,1)*INDEX('Clés de répartition'!$D$134:$D$149,Bienvenue!$G$10,1),INDEX('Clés de répartition'!$D$67:$D$85,Bienvenue!$G$11-1,1)*INDEX('Clés de répartition'!$D$151:$D$169,Bienvenue!$G$11-1,1))/1000000</f>
        <v>128.76780586503489</v>
      </c>
      <c r="J22" s="457" cm="1">
        <f t="array" ref="J22">J20*IF(Bienvenue!$G$11=1,INDEX('Clés de répartition'!$D$50:$D$65,Bienvenue!$G$10,1)*INDEX('Clés de répartition'!$D$134:$D$149,Bienvenue!$G$10,1),INDEX('Clés de répartition'!$D$67:$D$85,Bienvenue!$G$11-1,1)*INDEX('Clés de répartition'!$D$151:$D$169,Bienvenue!$G$11-1,1))/1000000</f>
        <v>36.542635960152744</v>
      </c>
      <c r="K22" s="458" cm="1">
        <f t="array" ref="K22">K20*IF(Bienvenue!$G$11=1,INDEX('Clés de répartition'!$D$50:$D$65,Bienvenue!$G$10,1)*INDEX('Clés de répartition'!$D$134:$D$149,Bienvenue!$G$10,1),INDEX('Clés de répartition'!$D$67:$D$85,Bienvenue!$G$11-1,1)*INDEX('Clés de répartition'!$D$151:$D$169,Bienvenue!$G$11-1,1))/1000000</f>
        <v>-52.238672710174598</v>
      </c>
      <c r="L22" s="459" cm="1">
        <f t="array" ref="L22">L20*IF(Bienvenue!$G$11=1,INDEX('Clés de répartition'!$E$50:$E$65,Bienvenue!$G$10,1)*INDEX('Clés de répartition'!$D$134:$D$149,Bienvenue!$G$10,1),INDEX('Clés de répartition'!$E$67:$E$85,Bienvenue!$G$11-1,1)*INDEX('Clés de répartition'!$D$151:$D$169,Bienvenue!$G$11-1,1))/1000000</f>
        <v>339.05803657137636</v>
      </c>
      <c r="M22" s="460" cm="1">
        <f t="array" ref="M22">M20*IF(Bienvenue!$G$11=1,INDEX('Clés de répartition'!$E$50:$E$65,Bienvenue!$G$10,1)*INDEX('Clés de répartition'!$D$134:$D$149,Bienvenue!$G$10,1),INDEX('Clés de répartition'!$E$67:$E$85,Bienvenue!$G$11-1,1)*INDEX('Clés de répartition'!$D$151:$D$169,Bienvenue!$G$11-1,1))/1000000</f>
        <v>34.244270327293606</v>
      </c>
      <c r="N22" s="461" cm="1">
        <f t="array" ref="N22">N20*IF(Bienvenue!$G$11=1,INDEX('Clés de répartition'!$E$50:$E$65,Bienvenue!$G$10,1)*INDEX('Clés de répartition'!$D$134:$D$149,Bienvenue!$G$10,1),INDEX('Clés de répartition'!$E$67:$E$85,Bienvenue!$G$11-1,1)*INDEX('Clés de répartition'!$D$151:$D$169,Bienvenue!$G$11-1,1))/1000000</f>
        <v>-38.772594130008613</v>
      </c>
      <c r="O22" s="109"/>
    </row>
    <row r="23" spans="1:15">
      <c r="A23" t="s">
        <v>412</v>
      </c>
      <c r="C23" s="405">
        <f>C20/C24</f>
        <v>0.39199414108094865</v>
      </c>
      <c r="D23" s="648">
        <f>(D20+E20)/C24</f>
        <v>0.60800585891905123</v>
      </c>
      <c r="E23" s="648"/>
      <c r="F23" s="410">
        <f>F20/F24</f>
        <v>0.67087250729591918</v>
      </c>
      <c r="G23" s="658">
        <f>(G20+H20)/F24</f>
        <v>0.32912749270408082</v>
      </c>
      <c r="H23" s="659"/>
      <c r="I23" s="414">
        <f>I20/I24</f>
        <v>1.1388148153413638</v>
      </c>
      <c r="J23" s="649">
        <f>(J20+K20)/I24</f>
        <v>-0.13881481534136372</v>
      </c>
      <c r="K23" s="649"/>
      <c r="L23" s="425">
        <f>L20/L24</f>
        <v>1.0135363874414542</v>
      </c>
      <c r="M23" s="650">
        <f>(M20+N20)/L24</f>
        <v>-1.3536387441454254E-2</v>
      </c>
      <c r="N23" s="651"/>
    </row>
    <row r="24" spans="1:15">
      <c r="A24" s="3" t="s">
        <v>300</v>
      </c>
      <c r="B24" s="3" t="str" cm="1">
        <f t="array" ref="B24">INDEX('Table des matières'!B27:B42,Bienvenue!G10,1)</f>
        <v>Agglomération de Montréal</v>
      </c>
      <c r="C24" s="90">
        <f>SUM(C20:E20)</f>
        <v>15245.626730873943</v>
      </c>
      <c r="D24" s="652" t="s">
        <v>661</v>
      </c>
      <c r="E24" s="652"/>
      <c r="F24" s="91">
        <f>SUM(F20:H20)</f>
        <v>7440.5370372739571</v>
      </c>
      <c r="G24" s="653" t="s">
        <v>661</v>
      </c>
      <c r="H24" s="654"/>
      <c r="I24" s="163">
        <f>SUM(I20:K20)</f>
        <v>2432.268981696569</v>
      </c>
      <c r="J24" s="655" t="s">
        <v>661</v>
      </c>
      <c r="K24" s="655"/>
      <c r="L24" s="92">
        <f>SUM(L20:N20)</f>
        <v>2050.7234237791372</v>
      </c>
      <c r="M24" s="656" t="s">
        <v>661</v>
      </c>
      <c r="N24" s="657"/>
    </row>
    <row r="25" spans="1:15" ht="33" customHeight="1">
      <c r="A25" s="3" t="s">
        <v>409</v>
      </c>
      <c r="B25" s="3" t="str" cm="1">
        <f t="array" ref="B25">INDEX('Table des matières'!B43:B62,Bienvenue!G11,1)</f>
        <v>Aucun</v>
      </c>
      <c r="C25" s="660" t="s">
        <v>192</v>
      </c>
      <c r="D25" s="661"/>
      <c r="E25" s="661"/>
      <c r="F25" s="662" t="s">
        <v>193</v>
      </c>
      <c r="G25" s="663"/>
      <c r="H25" s="664"/>
      <c r="I25" s="665" t="s">
        <v>194</v>
      </c>
      <c r="J25" s="665"/>
      <c r="K25" s="665"/>
      <c r="L25" s="666" t="s">
        <v>195</v>
      </c>
      <c r="M25" s="667"/>
      <c r="N25" s="668"/>
    </row>
    <row r="26" spans="1:15" ht="33" customHeight="1">
      <c r="B26" s="54"/>
      <c r="C26" s="165">
        <f>(D20+E20)/C20</f>
        <v>1.5510585368506697</v>
      </c>
      <c r="D26" s="669" t="s">
        <v>196</v>
      </c>
      <c r="E26" s="669"/>
      <c r="F26" s="175">
        <f>(G20+H20)/F20</f>
        <v>0.49059618500494612</v>
      </c>
      <c r="G26" s="670" t="s">
        <v>196</v>
      </c>
      <c r="H26" s="671"/>
      <c r="I26" s="164">
        <f>(J20+K20)/I20</f>
        <v>-0.12189410733979036</v>
      </c>
      <c r="J26" s="672" t="s">
        <v>196</v>
      </c>
      <c r="K26" s="672"/>
      <c r="L26" s="177">
        <f>(M20+N20)/L20</f>
        <v>-1.3355600853784014E-2</v>
      </c>
      <c r="M26" s="673" t="s">
        <v>196</v>
      </c>
      <c r="N26" s="674"/>
    </row>
    <row r="27" spans="1:15" ht="31" customHeight="1">
      <c r="B27" s="618"/>
      <c r="C27" s="165" cm="1">
        <f t="array" ref="C27">E29/(IF(Bienvenue!G11=1,INDEX('Clés de répartition'!F93:I108,Bienvenue!G10,1),INDEX('Clés de répartition'!F110:I128,Bienvenue!G11-1,1))*2*'Privé - Temps'!$B$11)</f>
        <v>1.5067195753171416</v>
      </c>
      <c r="D27" s="684" t="s">
        <v>638</v>
      </c>
      <c r="E27" s="684"/>
      <c r="F27" s="175" cm="1">
        <f t="array" ref="F27">H29/(IF(Bienvenue!G11=1,INDEX('Clés de répartition'!F93:I108,Bienvenue!G10,2),INDEX('Clés de répartition'!F110:I128,Bienvenue!G11-1,2))*2*'Privé - Temps'!$B$11)</f>
        <v>0.50928028048363561</v>
      </c>
      <c r="G27" s="685" t="s">
        <v>638</v>
      </c>
      <c r="H27" s="686"/>
      <c r="I27" s="164" cm="1">
        <f t="array" ref="I27">K29/(IF(Bienvenue!G11=1,INDEX('Clés de répartition'!F93:I108,Bienvenue!G10,3),INDEX('Clés de répartition'!F110:I128,Bienvenue!G11-1,3))*2*'Privé - Temps'!$B$11)</f>
        <v>-0.12939605703662466</v>
      </c>
      <c r="J27" s="687" t="s">
        <v>638</v>
      </c>
      <c r="K27" s="687"/>
      <c r="L27" s="177" cm="1">
        <f t="array" ref="L27">N29/(IF(Bienvenue!G11=1,INDEX('Clés de répartition'!F93:I108,Bienvenue!G10,4),INDEX('Clés de répartition'!F110:I128,Bienvenue!G11-1,4))*2*'Privé - Temps'!$B$11)</f>
        <v>-4.8869972024744128E-2</v>
      </c>
      <c r="M27" s="675" t="s">
        <v>638</v>
      </c>
      <c r="N27" s="676"/>
      <c r="O27" s="20"/>
    </row>
    <row r="28" spans="1:15" ht="31" customHeight="1">
      <c r="B28" s="16"/>
      <c r="C28" s="165" cm="1">
        <f t="array" ref="C28">C24/(IF(Bienvenue!G11=1,INDEX('Clés de répartition'!F93:I108,Bienvenue!G10,1),INDEX('Clés de répartition'!F110:I128,Bienvenue!G11-1,1))*2*'Privé - Temps'!$B$11)</f>
        <v>2.4781333160109291</v>
      </c>
      <c r="D28" s="684" t="s">
        <v>1069</v>
      </c>
      <c r="E28" s="684"/>
      <c r="F28" s="175" cm="1">
        <f t="array" ref="F28">F24/(IF(Bienvenue!G11=1,INDEX('Clés de répartition'!F93:I108,Bienvenue!G10,2),INDEX('Clés de répartition'!F110:I128,Bienvenue!G11-1,2))*2*'Privé - Temps'!$B$11)</f>
        <v>1.5473647500530456</v>
      </c>
      <c r="G28" s="685" t="s">
        <v>1069</v>
      </c>
      <c r="H28" s="686"/>
      <c r="I28" s="164" cm="1">
        <f t="array" ref="I28">I24/(IF(Bienvenue!G11=1,INDEX('Clés de répartition'!F93:I108,Bienvenue!G10,3),INDEX('Clés de répartition'!F110:I128,Bienvenue!G11-1,3))*2*'Privé - Temps'!$B$11)</f>
        <v>0.93214875313144985</v>
      </c>
      <c r="J28" s="687" t="s">
        <v>1069</v>
      </c>
      <c r="K28" s="687"/>
      <c r="L28" s="177" cm="1">
        <f t="array" ref="L28">L24/(IF(Bienvenue!G11=1,INDEX('Clés de répartition'!F93:I108,Bienvenue!G10,4),INDEX('Clés de répartition'!F110:I128,Bienvenue!G11-1,4))*2*'Privé - Temps'!$B$11)</f>
        <v>3.6102669368847411</v>
      </c>
      <c r="M28" s="675" t="s">
        <v>1070</v>
      </c>
      <c r="N28" s="676"/>
      <c r="O28" s="20"/>
    </row>
    <row r="29" spans="1:15" ht="50" customHeight="1">
      <c r="B29" s="16"/>
      <c r="C29" s="677" t="s">
        <v>640</v>
      </c>
      <c r="D29" s="678"/>
      <c r="E29" s="344">
        <f>D20+E20</f>
        <v>9269.4303752642591</v>
      </c>
      <c r="F29" s="679" t="s">
        <v>641</v>
      </c>
      <c r="G29" s="680"/>
      <c r="H29" s="176">
        <f>G20+H20</f>
        <v>2448.8852994498275</v>
      </c>
      <c r="I29" s="681" t="s">
        <v>642</v>
      </c>
      <c r="J29" s="681"/>
      <c r="K29" s="166">
        <f>J20+K20</f>
        <v>-337.63496955473602</v>
      </c>
      <c r="L29" s="682" t="s">
        <v>643</v>
      </c>
      <c r="M29" s="683"/>
      <c r="N29" s="167">
        <f>M20+N20</f>
        <v>-27.759386799539982</v>
      </c>
    </row>
    <row r="30" spans="1:15">
      <c r="B30" s="16"/>
      <c r="F30" t="s">
        <v>185</v>
      </c>
    </row>
    <row r="31" spans="1:15" ht="26">
      <c r="B31" s="16"/>
      <c r="D31" s="499" t="s">
        <v>840</v>
      </c>
      <c r="E31" s="500">
        <f>SUM(C20:E20)/SUM(F20:H20)</f>
        <v>2.0489954763345404</v>
      </c>
      <c r="F31" s="498" t="s">
        <v>945</v>
      </c>
    </row>
    <row r="32" spans="1:15" ht="26">
      <c r="B32" s="16"/>
      <c r="D32" s="499" t="s">
        <v>840</v>
      </c>
      <c r="E32" s="500">
        <f>E29/H29</f>
        <v>3.7851631423271446</v>
      </c>
      <c r="F32" s="498" t="s">
        <v>946</v>
      </c>
      <c r="G32" s="20"/>
      <c r="H32" s="20"/>
      <c r="I32" s="20"/>
      <c r="J32" s="20"/>
      <c r="K32" s="20"/>
      <c r="L32" s="20"/>
    </row>
    <row r="33" spans="1:6" ht="26">
      <c r="A33" t="s">
        <v>637</v>
      </c>
      <c r="D33" s="499" t="s">
        <v>840</v>
      </c>
      <c r="E33" s="500">
        <f>SUM(C21:E21)/SUM(F21:H21)</f>
        <v>1.6015185275003683</v>
      </c>
      <c r="F33" s="498" t="s">
        <v>944</v>
      </c>
    </row>
    <row r="34" spans="1:6" ht="26">
      <c r="A34" s="125" t="s">
        <v>296</v>
      </c>
      <c r="D34" s="499" t="s">
        <v>840</v>
      </c>
      <c r="E34" s="500">
        <f>C27/F27</f>
        <v>2.9585272256885591</v>
      </c>
      <c r="F34" s="498" t="s">
        <v>943</v>
      </c>
    </row>
    <row r="35" spans="1:6">
      <c r="A35" s="126" t="s">
        <v>297</v>
      </c>
      <c r="C35" s="54"/>
    </row>
    <row r="36" spans="1:6">
      <c r="A36" s="127" t="s">
        <v>298</v>
      </c>
    </row>
    <row r="37" spans="1:6">
      <c r="A37" s="182" t="s">
        <v>336</v>
      </c>
    </row>
    <row r="38" spans="1:6">
      <c r="A38" s="294" t="s">
        <v>344</v>
      </c>
    </row>
    <row r="39" spans="1:6">
      <c r="A39" s="174" t="s">
        <v>343</v>
      </c>
    </row>
    <row r="40" spans="1:6">
      <c r="D40" s="54"/>
    </row>
  </sheetData>
  <mergeCells count="36">
    <mergeCell ref="M27:N27"/>
    <mergeCell ref="C29:D29"/>
    <mergeCell ref="F29:G29"/>
    <mergeCell ref="I29:J29"/>
    <mergeCell ref="L29:M29"/>
    <mergeCell ref="D27:E27"/>
    <mergeCell ref="G27:H27"/>
    <mergeCell ref="J27:K27"/>
    <mergeCell ref="D28:E28"/>
    <mergeCell ref="G28:H28"/>
    <mergeCell ref="J28:K28"/>
    <mergeCell ref="M28:N28"/>
    <mergeCell ref="C25:E25"/>
    <mergeCell ref="F25:H25"/>
    <mergeCell ref="I25:K25"/>
    <mergeCell ref="L25:N25"/>
    <mergeCell ref="D26:E26"/>
    <mergeCell ref="G26:H26"/>
    <mergeCell ref="J26:K26"/>
    <mergeCell ref="M26:N26"/>
    <mergeCell ref="D23:E23"/>
    <mergeCell ref="J23:K23"/>
    <mergeCell ref="M23:N23"/>
    <mergeCell ref="D24:E24"/>
    <mergeCell ref="G24:H24"/>
    <mergeCell ref="J24:K24"/>
    <mergeCell ref="M24:N24"/>
    <mergeCell ref="G23:H23"/>
    <mergeCell ref="A22:B22"/>
    <mergeCell ref="A2:A3"/>
    <mergeCell ref="B2:B3"/>
    <mergeCell ref="A4:A9"/>
    <mergeCell ref="A10:A14"/>
    <mergeCell ref="A15:A19"/>
    <mergeCell ref="A20:B20"/>
    <mergeCell ref="A21:B21"/>
  </mergeCells>
  <pageMargins left="0.7" right="0.7" top="0.75" bottom="0.75" header="0.3" footer="0.3"/>
  <pageSetup orientation="portrait" horizontalDpi="0" verticalDpi="0"/>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15ED09-3A1D-9144-81EE-8D4078808E28}">
  <sheetPr codeName="Sheet15"/>
  <dimension ref="A1:N93"/>
  <sheetViews>
    <sheetView zoomScaleNormal="100" workbookViewId="0">
      <selection activeCell="A93" sqref="A93"/>
    </sheetView>
  </sheetViews>
  <sheetFormatPr baseColWidth="10" defaultRowHeight="16"/>
  <cols>
    <col min="1" max="1" width="54" customWidth="1"/>
    <col min="2" max="2" width="19.5" customWidth="1"/>
    <col min="3" max="3" width="24.83203125" bestFit="1" customWidth="1"/>
    <col min="4" max="4" width="26.6640625" customWidth="1"/>
    <col min="5" max="5" width="19.6640625" customWidth="1"/>
    <col min="6" max="6" width="22.5" customWidth="1"/>
    <col min="7" max="7" width="12" customWidth="1"/>
    <col min="8" max="8" width="14.6640625" customWidth="1"/>
    <col min="11" max="11" width="16.33203125" bestFit="1" customWidth="1"/>
    <col min="12" max="12" width="16.33203125" customWidth="1"/>
    <col min="13" max="14" width="14.1640625" customWidth="1"/>
  </cols>
  <sheetData>
    <row r="1" spans="1:14">
      <c r="A1" s="501" t="s">
        <v>841</v>
      </c>
    </row>
    <row r="2" spans="1:14" ht="26">
      <c r="A2" s="48" t="s">
        <v>186</v>
      </c>
    </row>
    <row r="4" spans="1:14" ht="73" customHeight="1">
      <c r="A4" s="637" t="s">
        <v>793</v>
      </c>
      <c r="B4" s="637"/>
      <c r="C4" s="637"/>
      <c r="D4" s="637"/>
      <c r="E4" s="637"/>
    </row>
    <row r="6" spans="1:14" ht="18" thickBot="1">
      <c r="A6" s="52"/>
      <c r="B6" s="55" t="s">
        <v>10</v>
      </c>
      <c r="C6" s="95" t="s">
        <v>11</v>
      </c>
      <c r="D6" s="57" t="s">
        <v>12</v>
      </c>
      <c r="E6" s="58" t="s">
        <v>13</v>
      </c>
      <c r="F6" s="387" t="s">
        <v>40</v>
      </c>
    </row>
    <row r="7" spans="1:14">
      <c r="A7" s="19" t="s">
        <v>598</v>
      </c>
      <c r="B7" s="88">
        <v>0</v>
      </c>
      <c r="C7" s="160">
        <f>'Clés de répartition'!D134*'Clés de répartition'!C50*B14*B19</f>
        <v>89.068296162513221</v>
      </c>
      <c r="D7" s="160">
        <f>B25*'Clés de répartition'!D50*'Clés de répartition'!D134</f>
        <v>28.627338095446682</v>
      </c>
      <c r="E7" s="160">
        <f>C25*'Clés de répartition'!E50*'Clés de répartition'!D134</f>
        <v>40.770689866279604</v>
      </c>
      <c r="F7" s="21">
        <f>D7+E7+C7</f>
        <v>158.46632412423952</v>
      </c>
    </row>
    <row r="8" spans="1:14">
      <c r="A8" s="19" t="s">
        <v>599</v>
      </c>
      <c r="B8" s="53">
        <f>IF(Bienvenue!$J$16=1,B10,B11 )</f>
        <v>0</v>
      </c>
      <c r="C8" s="53">
        <f>C9*'Clés de répartition'!C50*'Clés de répartition'!$D$134</f>
        <v>273840284.82323259</v>
      </c>
      <c r="D8" s="53">
        <f>D9*'Clés de répartition'!D50*'Clés de répartition'!$D$134</f>
        <v>88014689.35124284</v>
      </c>
      <c r="E8" s="53">
        <f>E9*'Clés de répartition'!E50*'Clés de répartition'!$D$134</f>
        <v>125349398.23088965</v>
      </c>
      <c r="F8" s="54">
        <f>D8+E8+C8</f>
        <v>487204372.40536511</v>
      </c>
    </row>
    <row r="9" spans="1:14">
      <c r="A9" s="19" t="s">
        <v>324</v>
      </c>
      <c r="B9" s="53"/>
      <c r="C9" s="98">
        <f>B17*B19*B14</f>
        <v>527.58383061384006</v>
      </c>
      <c r="D9" s="98" cm="1">
        <f t="array" ref="D9">IF(Bienvenue!G11=1,INDEX(D25:D40,Bienvenue!G10,1),INDEX(D42:D60,Bienvenue!G11-1,1))</f>
        <v>1893.2700931294048</v>
      </c>
      <c r="E9" s="98" cm="1">
        <f t="array" ref="E9">IF(Bienvenue!G11=1,INDEX(E25:E40,Bienvenue!G10,1),INDEX(E42:E60,Bienvenue!G11-1,1))</f>
        <v>768.41290114779167</v>
      </c>
    </row>
    <row r="10" spans="1:14">
      <c r="A10" s="19"/>
      <c r="B10" s="53"/>
      <c r="C10" s="54"/>
      <c r="D10" s="54"/>
      <c r="E10" s="54"/>
    </row>
    <row r="11" spans="1:14">
      <c r="A11" s="19"/>
      <c r="B11" s="53"/>
      <c r="C11" s="54"/>
      <c r="D11" s="54"/>
      <c r="E11" s="54"/>
    </row>
    <row r="13" spans="1:14">
      <c r="A13" s="3" t="s">
        <v>189</v>
      </c>
      <c r="D13" s="54"/>
    </row>
    <row r="14" spans="1:14">
      <c r="A14" s="19" t="s">
        <v>626</v>
      </c>
      <c r="B14">
        <f>0.78*2</f>
        <v>1.56</v>
      </c>
      <c r="D14" t="s">
        <v>612</v>
      </c>
      <c r="E14" t="s">
        <v>12</v>
      </c>
      <c r="F14" t="s">
        <v>13</v>
      </c>
    </row>
    <row r="15" spans="1:14">
      <c r="A15" s="19" t="s">
        <v>337</v>
      </c>
      <c r="B15" s="20">
        <f>B14/5.3</f>
        <v>0.29433962264150948</v>
      </c>
      <c r="D15" t="s">
        <v>654</v>
      </c>
      <c r="E15" s="53">
        <v>0.78800000000000003</v>
      </c>
      <c r="F15" s="53">
        <v>0.90900000000000003</v>
      </c>
      <c r="G15" s="54"/>
      <c r="M15" s="54"/>
      <c r="N15" s="54"/>
    </row>
    <row r="16" spans="1:14">
      <c r="A16" s="87" t="s">
        <v>188</v>
      </c>
      <c r="B16" s="54">
        <f>'Caché - Accident'!B36</f>
        <v>4804581.3375000004</v>
      </c>
      <c r="D16" t="s">
        <v>655</v>
      </c>
      <c r="E16" s="53">
        <v>0.36399999999999999</v>
      </c>
      <c r="F16" s="53">
        <v>0.27600000000000002</v>
      </c>
      <c r="M16" s="54"/>
      <c r="N16" s="54"/>
    </row>
    <row r="17" spans="1:14">
      <c r="A17" s="19" t="s">
        <v>187</v>
      </c>
      <c r="B17" s="54">
        <f>'Caché - Accident'!B35</f>
        <v>3074497.8474000003</v>
      </c>
      <c r="D17" t="s">
        <v>619</v>
      </c>
    </row>
    <row r="18" spans="1:14">
      <c r="A18" s="19" t="s">
        <v>754</v>
      </c>
      <c r="B18" s="20">
        <f>D72</f>
        <v>204.18373310816281</v>
      </c>
      <c r="D18" t="s">
        <v>701</v>
      </c>
      <c r="E18" s="53">
        <v>0.109055136</v>
      </c>
      <c r="F18" s="53">
        <v>0.27550771200000002</v>
      </c>
      <c r="L18" s="54"/>
    </row>
    <row r="19" spans="1:14">
      <c r="A19" s="19" t="s">
        <v>724</v>
      </c>
      <c r="B19" s="400">
        <f>1.1/10000</f>
        <v>1.1E-4</v>
      </c>
      <c r="C19" s="19"/>
      <c r="D19" t="s">
        <v>726</v>
      </c>
      <c r="E19" s="54">
        <f>B20*B17/250</f>
        <v>0.72558149198639998</v>
      </c>
      <c r="F19" s="54">
        <f>B19*B17/250</f>
        <v>1.3527790528560002</v>
      </c>
    </row>
    <row r="20" spans="1:14">
      <c r="A20" s="19" t="s">
        <v>725</v>
      </c>
      <c r="B20" s="400">
        <f>0.59/10000</f>
        <v>5.8999999999999998E-5</v>
      </c>
      <c r="C20" s="19"/>
      <c r="D20" s="54"/>
      <c r="M20" s="54"/>
      <c r="N20" s="54"/>
    </row>
    <row r="22" spans="1:14">
      <c r="D22" t="s">
        <v>730</v>
      </c>
      <c r="F22" t="s">
        <v>729</v>
      </c>
      <c r="L22" s="54"/>
      <c r="M22" s="54"/>
    </row>
    <row r="23" spans="1:14" ht="55" customHeight="1">
      <c r="B23" s="647" t="s">
        <v>597</v>
      </c>
      <c r="C23" s="647"/>
      <c r="D23" s="704" t="s">
        <v>611</v>
      </c>
      <c r="E23" s="704"/>
      <c r="F23" s="719" t="s">
        <v>703</v>
      </c>
      <c r="G23" s="704"/>
      <c r="H23" s="704" t="s">
        <v>702</v>
      </c>
      <c r="I23" s="704"/>
    </row>
    <row r="24" spans="1:14" ht="17" thickBot="1">
      <c r="B24" s="57" t="s">
        <v>12</v>
      </c>
      <c r="C24" s="58" t="s">
        <v>13</v>
      </c>
      <c r="D24" s="57" t="s">
        <v>12</v>
      </c>
      <c r="E24" s="58" t="s">
        <v>13</v>
      </c>
      <c r="F24" s="388" t="s">
        <v>12</v>
      </c>
      <c r="G24" s="58" t="s">
        <v>13</v>
      </c>
      <c r="H24" s="57" t="s">
        <v>12</v>
      </c>
      <c r="I24" s="58" t="s">
        <v>13</v>
      </c>
    </row>
    <row r="25" spans="1:14" ht="17">
      <c r="A25" s="298" t="s">
        <v>202</v>
      </c>
      <c r="B25" s="400">
        <f>$B$20*'Clés de répartition'!H93*2</f>
        <v>6.1579815212116015E-4</v>
      </c>
      <c r="C25">
        <f>$B$19*'Clés de répartition'!I93*2</f>
        <v>2.4993118853461311E-4</v>
      </c>
      <c r="D25" s="53">
        <f>$B$17*B25</f>
        <v>1893.2700931294048</v>
      </c>
      <c r="E25" s="53">
        <f>$B$17*C25</f>
        <v>768.41290114779167</v>
      </c>
      <c r="F25" s="155">
        <f>E$18*'Clés de répartition'!H93*2*'Privé - Temps'!$B$11</f>
        <v>284.55911537339745</v>
      </c>
      <c r="G25" s="112">
        <f>F$18*'Clés de répartition'!I93*2*'Privé - Temps'!$B$11</f>
        <v>156.49538616048159</v>
      </c>
      <c r="H25" s="54">
        <f>E$16*'Clés de répartition'!H93*2*'Privé - Temps'!$B$11</f>
        <v>949.79037022077239</v>
      </c>
      <c r="I25" s="54">
        <f>F$16*'Clés de répartition'!I93*2*'Privé - Temps'!$B$11</f>
        <v>156.77501826262096</v>
      </c>
      <c r="K25" s="54"/>
      <c r="L25" s="54"/>
    </row>
    <row r="26" spans="1:14">
      <c r="A26" s="19" t="s">
        <v>71</v>
      </c>
      <c r="B26">
        <f>$B$20*'Clés de répartition'!H94*2</f>
        <v>4.3173461421164983E-4</v>
      </c>
      <c r="C26">
        <f>$B$19*'Clés de répartition'!I94*2</f>
        <v>2.2847852308825501E-4</v>
      </c>
      <c r="D26" s="53">
        <f t="shared" ref="D26:D60" si="0">$B$17*B26</f>
        <v>1327.367142041787</v>
      </c>
      <c r="E26" s="53">
        <f t="shared" ref="E26:E60" si="1">$B$17*C26</f>
        <v>702.45672741197131</v>
      </c>
      <c r="F26" s="155">
        <f>E$18*'Clés de répartition'!H94*2*'Privé - Temps'!$B$11</f>
        <v>199.50371639304663</v>
      </c>
      <c r="G26" s="112">
        <f>F$18*'Clés de répartition'!I94*2*'Privé - Temps'!$B$11</f>
        <v>143.06271622087343</v>
      </c>
      <c r="H26" s="54">
        <f>E$16*'Clés de répartition'!H94*2*'Privé - Temps'!$B$11</f>
        <v>665.89576090271419</v>
      </c>
      <c r="I26" s="54">
        <f>F$16*'Clés de répartition'!I94*2*'Privé - Temps'!$B$11</f>
        <v>143.31834630081454</v>
      </c>
      <c r="K26" s="54"/>
    </row>
    <row r="27" spans="1:14">
      <c r="A27" s="19" t="s">
        <v>72</v>
      </c>
      <c r="B27">
        <f>$B$20*'Clés de répartition'!H95*2</f>
        <v>6.9146701197798585E-4</v>
      </c>
      <c r="C27">
        <f>$B$19*'Clés de répartition'!I95*2</f>
        <v>1.9963880467734963E-4</v>
      </c>
      <c r="D27" s="53">
        <f t="shared" si="0"/>
        <v>2125.9138398744276</v>
      </c>
      <c r="E27" s="53">
        <f t="shared" si="1"/>
        <v>613.78907523802059</v>
      </c>
      <c r="F27" s="155">
        <f>E$18*'Clés de répartition'!H95*2*'Privé - Temps'!$B$11</f>
        <v>319.52554674056307</v>
      </c>
      <c r="G27" s="112">
        <f>F$18*'Clés de répartition'!I95*2*'Privé - Temps'!$B$11</f>
        <v>125.00461432516249</v>
      </c>
      <c r="H27" s="54">
        <f>E$16*'Clés de répartition'!H95*2*'Privé - Temps'!$B$11</f>
        <v>1066.4999676270629</v>
      </c>
      <c r="I27" s="54">
        <f>F$16*'Clés de répartition'!I95*2*'Privé - Temps'!$B$11</f>
        <v>125.2279774794284</v>
      </c>
      <c r="K27" s="54"/>
    </row>
    <row r="28" spans="1:14">
      <c r="A28" s="19" t="s">
        <v>73</v>
      </c>
      <c r="B28">
        <f>$B$20*'Clés de répartition'!H96*2</f>
        <v>6.3031035361255452E-4</v>
      </c>
      <c r="C28">
        <f>$B$19*'Clés de répartition'!I96*2</f>
        <v>2.2308886962176319E-4</v>
      </c>
      <c r="D28" s="53">
        <f t="shared" si="0"/>
        <v>1937.8878253757318</v>
      </c>
      <c r="E28" s="53">
        <f t="shared" si="1"/>
        <v>685.88624943101024</v>
      </c>
      <c r="F28" s="155">
        <f>E$18*'Clés de répartition'!H96*2*'Privé - Temps'!$B$11</f>
        <v>291.26517515010693</v>
      </c>
      <c r="G28" s="112">
        <f>F$18*'Clés de répartition'!I96*2*'Privé - Temps'!$B$11</f>
        <v>139.68796373217793</v>
      </c>
      <c r="H28" s="54">
        <f>E$16*'Clés de répartition'!H96*2*'Privé - Temps'!$B$11</f>
        <v>972.17359624987228</v>
      </c>
      <c r="I28" s="54">
        <f>F$16*'Clés de répartition'!I96*2*'Privé - Temps'!$B$11</f>
        <v>139.93756367183329</v>
      </c>
      <c r="K28" s="54"/>
    </row>
    <row r="29" spans="1:14">
      <c r="A29" s="19" t="s">
        <v>74</v>
      </c>
      <c r="B29">
        <f>$B$20*'Clés de répartition'!H97*2</f>
        <v>1.4832718951612888E-3</v>
      </c>
      <c r="C29">
        <f>$B$19*'Clés de répartition'!I97*2</f>
        <v>2.6251725776748122E-4</v>
      </c>
      <c r="D29" s="53">
        <f t="shared" si="0"/>
        <v>4560.316248782301</v>
      </c>
      <c r="E29" s="53">
        <f t="shared" si="1"/>
        <v>807.10874391147206</v>
      </c>
      <c r="F29" s="155">
        <f>E$18*'Clés de répartition'!H97*2*'Privé - Temps'!$B$11</f>
        <v>685.4170264906445</v>
      </c>
      <c r="G29" s="112">
        <f>F$18*'Clés de répartition'!I97*2*'Privé - Temps'!$B$11</f>
        <v>164.37620238189314</v>
      </c>
      <c r="H29" s="54">
        <f>E$16*'Clés de répartition'!H97*2*'Privé - Temps'!$B$11</f>
        <v>2287.7583467741915</v>
      </c>
      <c r="I29" s="54">
        <f>F$16*'Clés de répartition'!I97*2*'Privé - Temps'!$B$11</f>
        <v>164.6699162359655</v>
      </c>
      <c r="K29" s="54"/>
    </row>
    <row r="30" spans="1:14">
      <c r="A30" s="19" t="s">
        <v>293</v>
      </c>
      <c r="B30">
        <f>$B$20*'Clés de répartition'!H98*2</f>
        <v>8.6614666725290184E-4</v>
      </c>
      <c r="C30">
        <f>$B$19*'Clés de répartition'!I98*2</f>
        <v>3.6085287981859384E-4</v>
      </c>
      <c r="D30" s="53">
        <f t="shared" si="0"/>
        <v>2662.966064001731</v>
      </c>
      <c r="E30" s="53">
        <f t="shared" si="1"/>
        <v>1109.4414022303579</v>
      </c>
      <c r="F30" s="155">
        <f>E$18*'Clés de répartition'!H98*2*'Privé - Temps'!$B$11</f>
        <v>400.24467200513544</v>
      </c>
      <c r="G30" s="112">
        <f>F$18*'Clés de répartition'!I98*2*'Privé - Temps'!$B$11</f>
        <v>225.94943474416309</v>
      </c>
      <c r="H30" s="54">
        <f>E$16*'Clés de répartition'!H98*2*'Privé - Temps'!$B$11</f>
        <v>1335.9211308476958</v>
      </c>
      <c r="I30" s="54">
        <f>F$16*'Clés de répartition'!I98*2*'Privé - Temps'!$B$11</f>
        <v>226.35317006802705</v>
      </c>
      <c r="K30" s="54"/>
    </row>
    <row r="31" spans="1:14">
      <c r="A31" s="19" t="s">
        <v>76</v>
      </c>
      <c r="B31">
        <f>$B$20*'Clés de répartition'!H99*2</f>
        <v>9.0174336640722508E-4</v>
      </c>
      <c r="C31">
        <f>$B$19*'Clés de répartition'!I99*2</f>
        <v>2.278229427440846E-4</v>
      </c>
      <c r="D31" s="53">
        <f t="shared" si="0"/>
        <v>2772.4080389262431</v>
      </c>
      <c r="E31" s="53">
        <f t="shared" si="1"/>
        <v>700.44114705502159</v>
      </c>
      <c r="F31" s="155">
        <f>E$18*'Clés de répartition'!H99*2*'Privé - Temps'!$B$11</f>
        <v>416.69383669761766</v>
      </c>
      <c r="G31" s="112">
        <f>F$18*'Clés de répartition'!I99*2*'Privé - Temps'!$B$11</f>
        <v>142.65222203756761</v>
      </c>
      <c r="H31" s="54">
        <f>E$16*'Clés de répartition'!H99*2*'Privé - Temps'!$B$11</f>
        <v>1390.8245142891099</v>
      </c>
      <c r="I31" s="54">
        <f>F$16*'Clés de répartition'!I99*2*'Privé - Temps'!$B$11</f>
        <v>142.90711863038032</v>
      </c>
      <c r="K31" s="54"/>
    </row>
    <row r="32" spans="1:14">
      <c r="A32" s="19" t="s">
        <v>77</v>
      </c>
      <c r="B32">
        <f>$B$20*'Clés de répartition'!H100*2</f>
        <v>1.18E-4</v>
      </c>
      <c r="C32">
        <f>$B$19*'Clés de répartition'!I100*2</f>
        <v>3.3745562377895721E-4</v>
      </c>
      <c r="D32" s="53">
        <f t="shared" si="0"/>
        <v>362.79074599320001</v>
      </c>
      <c r="E32" s="53">
        <f t="shared" si="1"/>
        <v>1037.5065889014284</v>
      </c>
      <c r="F32" s="155">
        <f>E$18*'Clés de répartition'!H100*2*'Privé - Temps'!$B$11</f>
        <v>54.527567999999995</v>
      </c>
      <c r="G32" s="112">
        <f>F$18*'Clés de répartition'!I100*2*'Privé - Temps'!$B$11</f>
        <v>211.29915183834842</v>
      </c>
      <c r="H32" s="54">
        <f>E$16*'Clés de répartition'!H100*2*'Privé - Temps'!$B$11</f>
        <v>182</v>
      </c>
      <c r="I32" s="54">
        <f>F$16*'Clés de répartition'!I100*2*'Privé - Temps'!$B$11</f>
        <v>211.67670946134592</v>
      </c>
      <c r="K32" s="54"/>
    </row>
    <row r="33" spans="1:12">
      <c r="A33" s="19" t="s">
        <v>79</v>
      </c>
      <c r="B33">
        <f>$B$20*'Clés de répartition'!H101*2</f>
        <v>6.1111135991048543E-4</v>
      </c>
      <c r="C33">
        <f>$B$19*'Clés de répartition'!I101*2</f>
        <v>2.485215801222717E-4</v>
      </c>
      <c r="D33" s="53">
        <f t="shared" si="0"/>
        <v>1878.8605605664743</v>
      </c>
      <c r="E33" s="53">
        <f t="shared" si="1"/>
        <v>764.0790631183711</v>
      </c>
      <c r="F33" s="155">
        <f>E$18*'Clés de répartition'!H101*2*'Privé - Temps'!$B$11</f>
        <v>282.39335790755484</v>
      </c>
      <c r="G33" s="112">
        <f>F$18*'Clés de répartition'!I101*2*'Privé - Temps'!$B$11</f>
        <v>155.61275436843579</v>
      </c>
      <c r="H33" s="54">
        <f>E$16*'Clés de répartition'!H101*2*'Privé - Temps'!$B$11</f>
        <v>942.56158901447748</v>
      </c>
      <c r="I33" s="54">
        <f>F$16*'Clés de répartition'!I101*2*'Privé - Temps'!$B$11</f>
        <v>155.89080934942498</v>
      </c>
      <c r="K33" s="54"/>
      <c r="L33" s="54"/>
    </row>
    <row r="34" spans="1:12">
      <c r="A34" s="19" t="s">
        <v>80</v>
      </c>
      <c r="B34">
        <f>$B$20*'Clés de répartition'!H102*2</f>
        <v>1.0940194335275787E-3</v>
      </c>
      <c r="C34">
        <f>$B$19*'Clés de répartition'!I102*2</f>
        <v>2.0853164398560933E-4</v>
      </c>
      <c r="D34" s="53">
        <f t="shared" si="0"/>
        <v>3363.5603933943084</v>
      </c>
      <c r="E34" s="53">
        <f t="shared" si="1"/>
        <v>641.1300905485391</v>
      </c>
      <c r="F34" s="155">
        <f>E$18*'Clés de répartition'!H102*2*'Privé - Temps'!$B$11</f>
        <v>505.54422927963162</v>
      </c>
      <c r="G34" s="112">
        <f>F$18*'Clés de répartition'!I102*2*'Privé - Temps'!$B$11</f>
        <v>130.5729002592586</v>
      </c>
      <c r="H34" s="54">
        <f>E$16*'Clés de répartition'!H102*2*'Privé - Temps'!$B$11</f>
        <v>1687.3859059493163</v>
      </c>
      <c r="I34" s="54">
        <f>F$16*'Clés de répartition'!I102*2*'Privé - Temps'!$B$11</f>
        <v>130.8062130455186</v>
      </c>
      <c r="K34" s="54"/>
    </row>
    <row r="35" spans="1:12">
      <c r="A35" s="19" t="s">
        <v>81</v>
      </c>
      <c r="B35">
        <f>$B$20*'Clés de répartition'!H103*2</f>
        <v>9.6440079908675794E-4</v>
      </c>
      <c r="C35">
        <f>$B$19*'Clés de répartition'!I103*2</f>
        <v>2.5099163484269821E-4</v>
      </c>
      <c r="D35" s="53">
        <f t="shared" si="0"/>
        <v>2965.0481808230775</v>
      </c>
      <c r="E35" s="53">
        <f t="shared" si="1"/>
        <v>771.67324103928252</v>
      </c>
      <c r="F35" s="155">
        <f>E$18*'Clés de répartition'!H103*2*'Privé - Temps'!$B$11</f>
        <v>445.64771314794518</v>
      </c>
      <c r="G35" s="112">
        <f>F$18*'Clés de répartition'!I103*2*'Privé - Temps'!$B$11</f>
        <v>157.15938874238924</v>
      </c>
      <c r="H35" s="54">
        <f>E$16*'Clés de répartition'!H103*2*'Privé - Temps'!$B$11</f>
        <v>1487.4656392694064</v>
      </c>
      <c r="I35" s="54">
        <f>F$16*'Clés de répartition'!I103*2*'Privé - Temps'!$B$11</f>
        <v>157.44020731041979</v>
      </c>
      <c r="K35" s="54"/>
    </row>
    <row r="36" spans="1:12">
      <c r="A36" s="19" t="s">
        <v>78</v>
      </c>
      <c r="B36">
        <f>$B$20*'Clés de répartition'!H104*2</f>
        <v>7.6322703040979014E-4</v>
      </c>
      <c r="C36">
        <f>$B$19*'Clés de répartition'!I104*2</f>
        <v>3.2183937232336781E-4</v>
      </c>
      <c r="D36" s="53">
        <f t="shared" si="0"/>
        <v>2346.5398620723945</v>
      </c>
      <c r="E36" s="53">
        <f t="shared" si="1"/>
        <v>989.49445741676152</v>
      </c>
      <c r="F36" s="155">
        <f>E$18*'Clés de répartition'!H104*2*'Privé - Temps'!$B$11</f>
        <v>352.68571017040597</v>
      </c>
      <c r="G36" s="112">
        <f>F$18*'Clés de répartition'!I104*2*'Privé - Temps'!$B$11</f>
        <v>201.52097522801634</v>
      </c>
      <c r="H36" s="54">
        <f>E$16*'Clés de répartition'!H104*2*'Privé - Temps'!$B$11</f>
        <v>1177.1806740218797</v>
      </c>
      <c r="I36" s="54">
        <f>F$16*'Clés de répartition'!I104*2*'Privé - Temps'!$B$11</f>
        <v>201.88106082102163</v>
      </c>
      <c r="K36" s="54"/>
    </row>
    <row r="37" spans="1:12">
      <c r="A37" s="19" t="s">
        <v>82</v>
      </c>
      <c r="B37">
        <f>$B$20*'Clés de répartition'!H105*2</f>
        <v>7.2512888041840204E-4</v>
      </c>
      <c r="C37">
        <f>$B$19*'Clés de répartition'!I105*2</f>
        <v>2.5913478113663801E-4</v>
      </c>
      <c r="D37" s="53">
        <f t="shared" si="0"/>
        <v>2229.4071819339492</v>
      </c>
      <c r="E37" s="53">
        <f t="shared" si="1"/>
        <v>796.70932679106375</v>
      </c>
      <c r="F37" s="155">
        <f>E$18*'Clés de répartition'!H105*2*'Privé - Temps'!$B$11</f>
        <v>335.08062996422279</v>
      </c>
      <c r="G37" s="112">
        <f>F$18*'Clés de répartition'!I105*2*'Privé - Temps'!$B$11</f>
        <v>162.2582514785816</v>
      </c>
      <c r="H37" s="54">
        <f>E$16*'Clés de répartition'!H105*2*'Privé - Temps'!$B$11</f>
        <v>1118.419120645332</v>
      </c>
      <c r="I37" s="54">
        <f>F$16*'Clés de répartition'!I105*2*'Privé - Temps'!$B$11</f>
        <v>162.54818089480023</v>
      </c>
      <c r="K37" s="54"/>
    </row>
    <row r="38" spans="1:12">
      <c r="A38" s="19" t="s">
        <v>83</v>
      </c>
      <c r="B38">
        <f>$B$20*'Clés de répartition'!H106*2</f>
        <v>3.0679999999999998E-4</v>
      </c>
      <c r="C38">
        <f>$B$19*'Clés de répartition'!I106*2</f>
        <v>1.5832766567653377E-4</v>
      </c>
      <c r="D38" s="53">
        <f t="shared" si="0"/>
        <v>943.25593958232002</v>
      </c>
      <c r="E38" s="53">
        <f t="shared" si="1"/>
        <v>486.77806730636996</v>
      </c>
      <c r="F38" s="155">
        <f>E$18*'Clés de répartition'!H106*2*'Privé - Temps'!$B$11</f>
        <v>141.77167679999999</v>
      </c>
      <c r="G38" s="112">
        <f>F$18*'Clés de répartition'!I106*2*'Privé - Temps'!$B$11</f>
        <v>99.137483901915346</v>
      </c>
      <c r="H38" s="54">
        <f>E$16*'Clés de répartition'!H106*2*'Privé - Temps'!$B$11</f>
        <v>473.2</v>
      </c>
      <c r="I38" s="54">
        <f>F$16*'Clés de répartition'!I106*2*'Privé - Temps'!$B$11</f>
        <v>99.314626651643906</v>
      </c>
      <c r="K38" s="54"/>
    </row>
    <row r="39" spans="1:12">
      <c r="A39" s="19" t="s">
        <v>84</v>
      </c>
      <c r="B39">
        <f>$B$20*'Clés de répartition'!H107*2</f>
        <v>1.8198267384284198E-3</v>
      </c>
      <c r="C39">
        <f>$B$19*'Clés de répartition'!I107*2</f>
        <v>0</v>
      </c>
      <c r="D39" s="53">
        <f t="shared" si="0"/>
        <v>5595.0533899391403</v>
      </c>
      <c r="E39" s="53">
        <f t="shared" si="1"/>
        <v>0</v>
      </c>
      <c r="F39" s="155">
        <f>E$18*'Clés de répartition'!H107*2*'Privé - Temps'!$B$11</f>
        <v>840.93835786333796</v>
      </c>
      <c r="G39" s="112">
        <f>F$18*'Clés de répartition'!I107*2*'Privé - Temps'!$B$11</f>
        <v>0</v>
      </c>
      <c r="H39" s="54">
        <f>E$16*'Clés de répartition'!H107*2*'Privé - Temps'!$B$11</f>
        <v>2806.8514101184105</v>
      </c>
      <c r="I39" s="54">
        <f>F$16*'Clés de répartition'!I107*2*'Privé - Temps'!$B$11</f>
        <v>0</v>
      </c>
      <c r="K39" s="54"/>
    </row>
    <row r="40" spans="1:12">
      <c r="A40" s="19" t="s">
        <v>85</v>
      </c>
      <c r="B40">
        <f>$B$20*'Clés de répartition'!H108*2</f>
        <v>4.1285329755857801E-4</v>
      </c>
      <c r="C40">
        <f>$B$19*'Clés de répartition'!I108*2</f>
        <v>3.3238346119771539E-4</v>
      </c>
      <c r="D40" s="53">
        <f t="shared" si="0"/>
        <v>1269.31657463584</v>
      </c>
      <c r="E40" s="53">
        <f t="shared" si="1"/>
        <v>1021.9122359637374</v>
      </c>
      <c r="F40" s="155">
        <f>E$18*'Clés de répartition'!H108*2*'Privé - Temps'!$B$11</f>
        <v>190.7786970902508</v>
      </c>
      <c r="G40" s="112">
        <f>F$18*'Clés de répartition'!I108*2*'Privé - Temps'!$B$11</f>
        <v>208.12319750278036</v>
      </c>
      <c r="H40" s="54">
        <f>E$16*'Clés de répartition'!H108*2*'Privé - Temps'!$B$11</f>
        <v>636.77373013272199</v>
      </c>
      <c r="I40" s="54">
        <f>F$16*'Clés de répartition'!I108*2*'Privé - Temps'!$B$11</f>
        <v>208.49508020583968</v>
      </c>
      <c r="K40" s="54"/>
    </row>
    <row r="41" spans="1:12">
      <c r="A41" s="107" t="s">
        <v>585</v>
      </c>
      <c r="B41" s="269"/>
      <c r="C41" s="269"/>
      <c r="D41" s="269"/>
      <c r="E41" s="269"/>
      <c r="F41" s="269"/>
      <c r="G41" s="269"/>
      <c r="H41" s="269"/>
      <c r="I41" s="269"/>
      <c r="K41" s="54"/>
    </row>
    <row r="42" spans="1:12">
      <c r="A42" s="597" t="s">
        <v>154</v>
      </c>
      <c r="B42">
        <f>$B$20*'Clés de répartition'!H110*2</f>
        <v>7.8435467265644413E-4</v>
      </c>
      <c r="C42">
        <f>$B$19*'Clés de répartition'!I110*2</f>
        <v>2.2666974928674119E-4</v>
      </c>
      <c r="D42" s="53">
        <f t="shared" si="0"/>
        <v>2411.4967526803694</v>
      </c>
      <c r="E42" s="53">
        <f t="shared" si="1"/>
        <v>696.89565625278351</v>
      </c>
      <c r="F42" s="155">
        <f>E$18*'Clés de répartition'!H110*2*'Privé - Temps'!$B$11</f>
        <v>362.44875211349148</v>
      </c>
      <c r="G42" s="112">
        <f>F$18*'Clés de répartition'!I110*2*'Privé - Temps'!$B$11</f>
        <v>141.93014546728114</v>
      </c>
      <c r="H42" s="54">
        <f>E$16*'Clés de répartition'!H110*2*'Privé - Temps'!$B$11</f>
        <v>1209.7673764701087</v>
      </c>
      <c r="I42" s="54">
        <f>F$16*'Clés de répartition'!I110*2*'Privé - Temps'!$B$11</f>
        <v>142.18375182531949</v>
      </c>
      <c r="K42" s="54"/>
    </row>
    <row r="43" spans="1:12">
      <c r="A43" s="597" t="s">
        <v>155</v>
      </c>
      <c r="B43">
        <f>$B$20*'Clés de répartition'!H111*2</f>
        <v>1.0915406113979149E-3</v>
      </c>
      <c r="C43">
        <f>$B$19*'Clés de répartition'!I111*2</f>
        <v>2.3389084035977219E-4</v>
      </c>
      <c r="D43" s="53">
        <f t="shared" si="0"/>
        <v>3355.9392600925698</v>
      </c>
      <c r="E43" s="53">
        <f t="shared" si="1"/>
        <v>719.09688521269675</v>
      </c>
      <c r="F43" s="155">
        <f>E$18*'Clés de répartition'!H111*2*'Privé - Temps'!$B$11</f>
        <v>504.39877044713035</v>
      </c>
      <c r="G43" s="112">
        <f>F$18*'Clés de répartition'!I111*2*'Privé - Temps'!$B$11</f>
        <v>146.45165973926842</v>
      </c>
      <c r="H43" s="54">
        <f>E$16*'Clés de répartition'!H111*2*'Privé - Temps'!$B$11</f>
        <v>1683.5626379188179</v>
      </c>
      <c r="I43" s="54">
        <f>F$16*'Clés de répartition'!I111*2*'Privé - Temps'!$B$11</f>
        <v>146.71334531658439</v>
      </c>
      <c r="K43" s="54"/>
    </row>
    <row r="44" spans="1:12">
      <c r="A44" s="597" t="s">
        <v>156</v>
      </c>
      <c r="B44">
        <f>$B$20*'Clés de répartition'!H112*2</f>
        <v>6.6405966290783555E-4</v>
      </c>
      <c r="C44">
        <f>$B$19*'Clés de répartition'!I112*2</f>
        <v>2.5985147727897818E-4</v>
      </c>
      <c r="D44" s="53">
        <f t="shared" si="0"/>
        <v>2041.6500041553102</v>
      </c>
      <c r="E44" s="53">
        <f t="shared" si="1"/>
        <v>798.91280753792853</v>
      </c>
      <c r="F44" s="155">
        <f>E$18*'Clés de répartition'!H112*2*'Privé - Temps'!$B$11</f>
        <v>306.86066462088206</v>
      </c>
      <c r="G44" s="112">
        <f>F$18*'Clés de répartition'!I112*2*'Privé - Temps'!$B$11</f>
        <v>162.70701355670741</v>
      </c>
      <c r="H44" s="54">
        <f>E$16*'Clés de répartition'!H112*2*'Privé - Temps'!$B$11</f>
        <v>1024.2276156714074</v>
      </c>
      <c r="I44" s="54">
        <f>F$16*'Clés de répartition'!I112*2*'Privé - Temps'!$B$11</f>
        <v>162.99774483863177</v>
      </c>
      <c r="K44" s="54"/>
    </row>
    <row r="45" spans="1:12">
      <c r="A45" s="597" t="s">
        <v>403</v>
      </c>
      <c r="B45">
        <f>$B$20*'Clés de répartition'!H113*2</f>
        <v>1.0076447578172896E-3</v>
      </c>
      <c r="C45">
        <f>$B$19*'Clés de répartition'!I113*2</f>
        <v>2.2080703419759162E-4</v>
      </c>
      <c r="D45" s="53">
        <f t="shared" si="0"/>
        <v>3098.0016388531517</v>
      </c>
      <c r="E45" s="53">
        <f t="shared" si="1"/>
        <v>678.87075133127371</v>
      </c>
      <c r="F45" s="155">
        <f>E$18*'Clés de répartition'!H113*2*'Privé - Temps'!$B$11</f>
        <v>465.63066145530331</v>
      </c>
      <c r="G45" s="112">
        <f>F$18*'Clés de répartition'!I113*2*'Privé - Temps'!$B$11</f>
        <v>138.25918360291868</v>
      </c>
      <c r="H45" s="54">
        <f>E$16*'Clés de répartition'!H113*2*'Privé - Temps'!$B$11</f>
        <v>1554.1639484978534</v>
      </c>
      <c r="I45" s="54">
        <f>F$16*'Clés de répartition'!I113*2*'Privé - Temps'!$B$11</f>
        <v>138.50623054212565</v>
      </c>
      <c r="K45" s="54"/>
    </row>
    <row r="46" spans="1:12">
      <c r="A46" s="597" t="s">
        <v>168</v>
      </c>
      <c r="B46">
        <f>$B$20*'Clés de répartition'!H114*2</f>
        <v>9.2546274286097764E-4</v>
      </c>
      <c r="C46">
        <f>$B$19*'Clés de répartition'!I114*2</f>
        <v>1.6749999999999992E-4</v>
      </c>
      <c r="D46" s="53">
        <f t="shared" si="0"/>
        <v>2845.3332107749757</v>
      </c>
      <c r="E46" s="53">
        <f t="shared" si="1"/>
        <v>514.97838943949978</v>
      </c>
      <c r="F46" s="155">
        <f>E$18*'Clés de répartition'!H114*2*'Privé - Temps'!$B$11</f>
        <v>427.65451392219046</v>
      </c>
      <c r="G46" s="112">
        <f>F$18*'Clés de répartition'!I114*2*'Privé - Temps'!$B$11</f>
        <v>104.88077672727267</v>
      </c>
      <c r="H46" s="54">
        <f>E$16*'Clés de répartition'!H114*2*'Privé - Temps'!$B$11</f>
        <v>1427.4086372940501</v>
      </c>
      <c r="I46" s="54">
        <f>F$16*'Clés de répartition'!I114*2*'Privé - Temps'!$B$11</f>
        <v>105.06818181818178</v>
      </c>
      <c r="K46" s="54"/>
    </row>
    <row r="47" spans="1:12">
      <c r="A47" s="597" t="s">
        <v>167</v>
      </c>
      <c r="B47">
        <f>$B$20*'Clés de répartition'!H115*2</f>
        <v>9.1398108204816299E-4</v>
      </c>
      <c r="C47">
        <f>$B$19*'Clés de répartition'!I115*2</f>
        <v>1.8028282148290766E-4</v>
      </c>
      <c r="D47" s="53">
        <f t="shared" si="0"/>
        <v>2810.0328693214001</v>
      </c>
      <c r="E47" s="53">
        <f t="shared" si="1"/>
        <v>554.27914657239819</v>
      </c>
      <c r="F47" s="155">
        <f>E$18*'Clés de répartition'!H115*2*'Privé - Temps'!$B$11</f>
        <v>422.3488610347016</v>
      </c>
      <c r="G47" s="112">
        <f>F$18*'Clés de répartition'!I115*2*'Privé - Temps'!$B$11</f>
        <v>112.88479013559169</v>
      </c>
      <c r="H47" s="54">
        <f>E$16*'Clés de répartition'!H115*2*'Privé - Temps'!$B$11</f>
        <v>1409.6996350234378</v>
      </c>
      <c r="I47" s="54">
        <f>F$16*'Clés de répartition'!I115*2*'Privé - Temps'!$B$11</f>
        <v>113.08649711200573</v>
      </c>
      <c r="K47" s="54"/>
    </row>
    <row r="48" spans="1:12">
      <c r="A48" s="597" t="s">
        <v>170</v>
      </c>
      <c r="B48">
        <f>$B$20*'Clés de répartition'!H116*2</f>
        <v>6.4694824499506032E-4</v>
      </c>
      <c r="C48">
        <f>$B$19*'Clés de répartition'!I116*2</f>
        <v>2.4107997065297203E-4</v>
      </c>
      <c r="D48" s="53">
        <f t="shared" si="0"/>
        <v>1989.040986616521</v>
      </c>
      <c r="E48" s="53">
        <f t="shared" si="1"/>
        <v>741.19985082381777</v>
      </c>
      <c r="F48" s="155">
        <f>E$18*'Clés de répartition'!H116*2*'Privé - Temps'!$B$11</f>
        <v>298.9535120461764</v>
      </c>
      <c r="G48" s="112">
        <f>F$18*'Clés de répartition'!I116*2*'Privé - Temps'!$B$11</f>
        <v>150.95316164460789</v>
      </c>
      <c r="H48" s="54">
        <f>E$16*'Clés de répartition'!H116*2*'Privé - Temps'!$B$11</f>
        <v>997.83542872119483</v>
      </c>
      <c r="I48" s="54">
        <f>F$16*'Clés de répartition'!I116*2*'Privé - Temps'!$B$11</f>
        <v>151.22289068231885</v>
      </c>
      <c r="K48" s="54"/>
    </row>
    <row r="49" spans="1:11">
      <c r="A49" s="597" t="s">
        <v>171</v>
      </c>
      <c r="B49">
        <f>$B$20*'Clés de répartition'!H117*2</f>
        <v>1.1382161599146519E-3</v>
      </c>
      <c r="C49">
        <f>$B$19*'Clés de répartition'!I117*2</f>
        <v>1.8869556469399218E-4</v>
      </c>
      <c r="D49" s="53">
        <f t="shared" si="0"/>
        <v>3499.4431335334916</v>
      </c>
      <c r="E49" s="53">
        <f t="shared" si="1"/>
        <v>580.14410746560645</v>
      </c>
      <c r="F49" s="155">
        <f>E$18*'Clés de répartition'!H117*2*'Privé - Temps'!$B$11</f>
        <v>525.96744964783932</v>
      </c>
      <c r="G49" s="112">
        <f>F$18*'Clés de répartition'!I117*2*'Privé - Temps'!$B$11</f>
        <v>118.15246203043128</v>
      </c>
      <c r="H49" s="54">
        <f>E$16*'Clés de répartition'!H117*2*'Privé - Temps'!$B$11</f>
        <v>1755.5537381734462</v>
      </c>
      <c r="I49" s="54">
        <f>F$16*'Clés de répartition'!I117*2*'Privé - Temps'!$B$11</f>
        <v>118.36358148986783</v>
      </c>
      <c r="K49" s="54"/>
    </row>
    <row r="50" spans="1:11">
      <c r="A50" s="597" t="s">
        <v>172</v>
      </c>
      <c r="B50">
        <f>$B$20*'Clés de répartition'!H118*2</f>
        <v>5.4848370359871998E-4</v>
      </c>
      <c r="C50">
        <f>$B$19*'Clés de répartition'!I118*2</f>
        <v>2.6874020057134144E-4</v>
      </c>
      <c r="D50" s="53">
        <f t="shared" si="0"/>
        <v>1686.3119660482444</v>
      </c>
      <c r="E50" s="53">
        <f t="shared" si="1"/>
        <v>826.24116816643357</v>
      </c>
      <c r="F50" s="155">
        <f>E$18*'Clés de répartition'!H118*2*'Privé - Temps'!$B$11</f>
        <v>253.45324105822925</v>
      </c>
      <c r="G50" s="112">
        <f>F$18*'Clés de répartition'!I118*2*'Privé - Temps'!$B$11</f>
        <v>168.27272223143493</v>
      </c>
      <c r="H50" s="54">
        <f>E$16*'Clés de répartition'!H118*2*'Privé - Temps'!$B$11</f>
        <v>845.96639029633081</v>
      </c>
      <c r="I50" s="54">
        <f>F$16*'Clés de répartition'!I118*2*'Privé - Temps'!$B$11</f>
        <v>168.57339854020509</v>
      </c>
      <c r="K50" s="54"/>
    </row>
    <row r="51" spans="1:11">
      <c r="A51" s="597" t="s">
        <v>173</v>
      </c>
      <c r="B51">
        <f>$B$20*'Clés de répartition'!H119*2</f>
        <v>4.2157831482691018E-4</v>
      </c>
      <c r="C51">
        <f>$B$19*'Clés de répartition'!I119*2</f>
        <v>2.8486469379032501E-4</v>
      </c>
      <c r="D51" s="53">
        <f t="shared" si="0"/>
        <v>1296.141621445855</v>
      </c>
      <c r="E51" s="53">
        <f t="shared" si="1"/>
        <v>875.81588785861447</v>
      </c>
      <c r="F51" s="155">
        <f>E$18*'Clés de répartition'!H119*2*'Privé - Temps'!$B$11</f>
        <v>194.81051041567588</v>
      </c>
      <c r="G51" s="112">
        <f>F$18*'Clés de répartition'!I119*2*'Privé - Temps'!$B$11</f>
        <v>178.36913639943873</v>
      </c>
      <c r="H51" s="54">
        <f>E$16*'Clés de répartition'!H119*2*'Privé - Temps'!$B$11</f>
        <v>650.23096015675981</v>
      </c>
      <c r="I51" s="54">
        <f>F$16*'Clés de répartition'!I119*2*'Privé - Temps'!$B$11</f>
        <v>178.68785337756751</v>
      </c>
      <c r="K51" s="54"/>
    </row>
    <row r="52" spans="1:11">
      <c r="A52" s="597" t="s">
        <v>350</v>
      </c>
      <c r="B52">
        <f>$B$20*'Clés de répartition'!H120*2</f>
        <v>4.8193418546366021E-4</v>
      </c>
      <c r="C52">
        <f>$B$19*'Clés de répartition'!I120*2</f>
        <v>3.1843274140523121E-4</v>
      </c>
      <c r="D52" s="53">
        <f t="shared" si="0"/>
        <v>1481.7056157964957</v>
      </c>
      <c r="E52" s="53">
        <f t="shared" si="1"/>
        <v>979.02077799206427</v>
      </c>
      <c r="F52" s="155">
        <f>E$18*'Clés de répartition'!H120*2*'Privé - Temps'!$B$11</f>
        <v>222.70083957113852</v>
      </c>
      <c r="G52" s="112">
        <f>F$18*'Clés de répartition'!I120*2*'Privé - Temps'!$B$11</f>
        <v>199.38790002373392</v>
      </c>
      <c r="H52" s="54">
        <f>E$16*'Clés de répartition'!H120*2*'Privé - Temps'!$B$11</f>
        <v>743.32221825750992</v>
      </c>
      <c r="I52" s="54">
        <f>F$16*'Clés de répartition'!I120*2*'Privé - Temps'!$B$11</f>
        <v>199.74417415419049</v>
      </c>
      <c r="K52" s="54"/>
    </row>
    <row r="53" spans="1:11">
      <c r="A53" s="597" t="s">
        <v>174</v>
      </c>
      <c r="B53">
        <f>$B$20*'Clés de répartition'!H121*2</f>
        <v>1.1904729188462154E-3</v>
      </c>
      <c r="C53">
        <f>$B$19*'Clés de répartition'!I121*2</f>
        <v>2.257471491156288E-4</v>
      </c>
      <c r="D53" s="53">
        <f t="shared" si="0"/>
        <v>3660.1064263806848</v>
      </c>
      <c r="E53" s="53">
        <f t="shared" si="1"/>
        <v>694.05912401268768</v>
      </c>
      <c r="F53" s="155">
        <f>E$18*'Clés de répartition'!H121*2*'Privé - Temps'!$B$11</f>
        <v>550.11519520801266</v>
      </c>
      <c r="G53" s="112">
        <f>F$18*'Clés de répartition'!I121*2*'Privé - Temps'!$B$11</f>
        <v>141.35245578038572</v>
      </c>
      <c r="H53" s="54">
        <f>E$16*'Clés de répartition'!H121*2*'Privé - Temps'!$B$11</f>
        <v>1836.1531460170443</v>
      </c>
      <c r="I53" s="54">
        <f>F$16*'Clés de répartition'!I121*2*'Privé - Temps'!$B$11</f>
        <v>141.60502989980353</v>
      </c>
      <c r="K53" s="54"/>
    </row>
    <row r="54" spans="1:11">
      <c r="A54" s="597" t="s">
        <v>175</v>
      </c>
      <c r="B54">
        <f>$B$20*'Clés de répartition'!H122*2</f>
        <v>6.1353978259029473E-4</v>
      </c>
      <c r="C54">
        <f>$B$19*'Clés de répartition'!I122*2</f>
        <v>2.6042141417897659E-4</v>
      </c>
      <c r="D54" s="53">
        <f t="shared" si="0"/>
        <v>1886.3267408681254</v>
      </c>
      <c r="E54" s="53">
        <f t="shared" si="1"/>
        <v>800.66507731012746</v>
      </c>
      <c r="F54" s="155">
        <f>E$18*'Clés de répartition'!H122*2*'Privé - Temps'!$B$11</f>
        <v>283.51552725336876</v>
      </c>
      <c r="G54" s="112">
        <f>F$18*'Clés de répartition'!I122*2*'Privé - Temps'!$B$11</f>
        <v>163.0638817642141</v>
      </c>
      <c r="H54" s="54">
        <f>E$16*'Clés de répartition'!H122*2*'Privé - Temps'!$B$11</f>
        <v>946.30712230028519</v>
      </c>
      <c r="I54" s="54">
        <f>F$16*'Clés de répartition'!I122*2*'Privé - Temps'!$B$11</f>
        <v>163.35525071226718</v>
      </c>
      <c r="K54" s="54"/>
    </row>
    <row r="55" spans="1:11">
      <c r="A55" s="597" t="s">
        <v>176</v>
      </c>
      <c r="B55">
        <f>$B$20*'Clés de répartition'!H123*2</f>
        <v>5.3522436503703657E-4</v>
      </c>
      <c r="C55">
        <f>$B$19*'Clés de répartition'!I123*2</f>
        <v>2.5545112288945921E-4</v>
      </c>
      <c r="D55" s="53">
        <f t="shared" si="0"/>
        <v>1645.5461581824009</v>
      </c>
      <c r="E55" s="53">
        <f t="shared" si="1"/>
        <v>785.38392743955524</v>
      </c>
      <c r="F55" s="155">
        <f>E$18*'Clés de répartition'!H123*2*'Privé - Temps'!$B$11</f>
        <v>247.32612677808334</v>
      </c>
      <c r="G55" s="112">
        <f>F$18*'Clés de répartition'!I123*2*'Privé - Temps'!$B$11</f>
        <v>159.95171453433124</v>
      </c>
      <c r="H55" s="54">
        <f>E$16*'Clés de répartition'!H123*2*'Privé - Temps'!$B$11</f>
        <v>825.51554607407331</v>
      </c>
      <c r="I55" s="54">
        <f>F$16*'Clés de répartition'!I123*2*'Privé - Temps'!$B$11</f>
        <v>160.23752253975172</v>
      </c>
      <c r="K55" s="54"/>
    </row>
    <row r="56" spans="1:11">
      <c r="A56" s="597" t="s">
        <v>177</v>
      </c>
      <c r="B56">
        <f>$B$20*'Clés de répartition'!H124*2</f>
        <v>6.256487469465308E-4</v>
      </c>
      <c r="C56">
        <f>$B$19*'Clés de répartition'!I124*2</f>
        <v>2.0883184231636036E-4</v>
      </c>
      <c r="D56" s="53">
        <f t="shared" si="0"/>
        <v>1923.5557257156165</v>
      </c>
      <c r="E56" s="53">
        <f t="shared" si="1"/>
        <v>642.05304967022619</v>
      </c>
      <c r="F56" s="155">
        <f>E$18*'Clés de répartition'!H124*2*'Privé - Temps'!$B$11</f>
        <v>289.11105587493006</v>
      </c>
      <c r="G56" s="112">
        <f>F$18*'Clés de répartition'!I124*2*'Privé - Temps'!$B$11</f>
        <v>130.76087061210279</v>
      </c>
      <c r="H56" s="54">
        <f>E$16*'Clés de répartition'!H124*2*'Privé - Temps'!$B$11</f>
        <v>964.98366054464918</v>
      </c>
      <c r="I56" s="54">
        <f>F$16*'Clés de répartition'!I124*2*'Privé - Temps'!$B$11</f>
        <v>130.9945192711715</v>
      </c>
      <c r="K56" s="54"/>
    </row>
    <row r="57" spans="1:11">
      <c r="A57" s="597" t="s">
        <v>351</v>
      </c>
      <c r="B57">
        <f>$B$20*'Clés de répartition'!H125*2</f>
        <v>5.1765335582395729E-4</v>
      </c>
      <c r="C57">
        <f>$B$19*'Clés de répartition'!I125*2</f>
        <v>2.7083874263490439E-4</v>
      </c>
      <c r="D57" s="53">
        <f t="shared" si="0"/>
        <v>1591.5241281801432</v>
      </c>
      <c r="E57" s="53">
        <f t="shared" si="1"/>
        <v>832.69313122353628</v>
      </c>
      <c r="F57" s="155">
        <f>E$18*'Clés de répartition'!H125*2*'Privé - Temps'!$B$11</f>
        <v>239.20659796711038</v>
      </c>
      <c r="G57" s="112">
        <f>F$18*'Clés de répartition'!I125*2*'Privé - Temps'!$B$11</f>
        <v>169.58673250977131</v>
      </c>
      <c r="H57" s="54">
        <f>E$16*'Clés de répartition'!H125*2*'Privé - Temps'!$B$11</f>
        <v>798.41449796576455</v>
      </c>
      <c r="I57" s="54">
        <f>F$16*'Clés de répartition'!I125*2*'Privé - Temps'!$B$11</f>
        <v>169.88975674371278</v>
      </c>
      <c r="K57" s="54"/>
    </row>
    <row r="58" spans="1:11">
      <c r="A58" s="597" t="s">
        <v>856</v>
      </c>
      <c r="B58">
        <f>$B$20*'Clés de répartition'!H126*2</f>
        <v>9.6927325113216377E-4</v>
      </c>
      <c r="C58">
        <f>$B$19*'Clés de répartition'!I126*2</f>
        <v>2.260469724403814E-4</v>
      </c>
      <c r="D58" s="53">
        <f t="shared" si="0"/>
        <v>2980.0285241482375</v>
      </c>
      <c r="E58" s="53">
        <f t="shared" si="1"/>
        <v>694.98093017923986</v>
      </c>
      <c r="F58" s="155">
        <f>E$18*'Clés de répartition'!H126*2*'Privé - Temps'!$B$11</f>
        <v>447.89926365839102</v>
      </c>
      <c r="G58" s="112">
        <f>F$18*'Clés de répartition'!I126*2*'Privé - Temps'!$B$11</f>
        <v>141.54019132176487</v>
      </c>
      <c r="H58" s="54">
        <f>E$16*'Clés de répartition'!H126*2*'Privé - Temps'!$B$11</f>
        <v>1494.9807771699475</v>
      </c>
      <c r="I58" s="54">
        <f>F$16*'Clés de répartition'!I126*2*'Privé - Temps'!$B$11</f>
        <v>141.79310089442106</v>
      </c>
      <c r="K58" s="54"/>
    </row>
    <row r="59" spans="1:11">
      <c r="A59" s="597" t="s">
        <v>178</v>
      </c>
      <c r="B59">
        <f>$B$20*'Clés de répartition'!H127*2</f>
        <v>4.6501625920758347E-4</v>
      </c>
      <c r="C59">
        <f>$B$19*'Clés de répartition'!I127*2</f>
        <v>2.4695626375107382E-4</v>
      </c>
      <c r="D59" s="53">
        <f t="shared" si="0"/>
        <v>1429.6914879397159</v>
      </c>
      <c r="E59" s="53">
        <f t="shared" si="1"/>
        <v>759.26650130462315</v>
      </c>
      <c r="F59" s="155">
        <f>E$18*'Clés de répartition'!H127*2*'Privé - Temps'!$B$11</f>
        <v>214.88309911056891</v>
      </c>
      <c r="G59" s="112">
        <f>F$18*'Clés de répartition'!I127*2*'Privé - Temps'!$B$11</f>
        <v>154.63262543210655</v>
      </c>
      <c r="H59" s="54">
        <f>E$16*'Clés de répartition'!H127*2*'Privé - Temps'!$B$11</f>
        <v>717.22846759135746</v>
      </c>
      <c r="I59" s="54">
        <f>F$16*'Clés de répartition'!I127*2*'Privé - Temps'!$B$11</f>
        <v>154.90892908021902</v>
      </c>
      <c r="K59" s="54"/>
    </row>
    <row r="60" spans="1:11">
      <c r="A60" s="597" t="s">
        <v>179</v>
      </c>
      <c r="B60">
        <f>$B$20*'Clés de répartition'!H128*2</f>
        <v>6.334121563165853E-4</v>
      </c>
      <c r="C60">
        <f>$B$19*'Clés de répartition'!I128*2</f>
        <v>1.9967800798801767E-4</v>
      </c>
      <c r="D60" s="53">
        <f t="shared" si="0"/>
        <v>1947.424311112334</v>
      </c>
      <c r="E60" s="53">
        <f t="shared" si="1"/>
        <v>613.9096057322804</v>
      </c>
      <c r="F60" s="155">
        <f>E$18*'Clés de répartition'!H128*2*'Privé - Temps'!$B$11</f>
        <v>292.69851208117996</v>
      </c>
      <c r="G60" s="112">
        <f>F$18*'Clés de répartition'!I128*2*'Privé - Temps'!$B$11</f>
        <v>125.02916163067381</v>
      </c>
      <c r="H60" s="54">
        <f>E$16*'Clés de répartition'!H128*2*'Privé - Temps'!$B$11</f>
        <v>976.9577326238857</v>
      </c>
      <c r="I60" s="54">
        <f>F$16*'Clés de répartition'!I128*2*'Privé - Temps'!$B$11</f>
        <v>125.25256864702928</v>
      </c>
      <c r="K60" s="54"/>
    </row>
    <row r="62" spans="1:11">
      <c r="A62" s="23" t="s">
        <v>190</v>
      </c>
    </row>
    <row r="63" spans="1:11">
      <c r="A63" s="45" t="s">
        <v>68</v>
      </c>
    </row>
    <row r="64" spans="1:11">
      <c r="A64" s="23" t="s">
        <v>191</v>
      </c>
    </row>
    <row r="65" spans="1:4">
      <c r="A65" s="89" t="s">
        <v>68</v>
      </c>
    </row>
    <row r="70" spans="1:4">
      <c r="A70" s="299" t="s">
        <v>751</v>
      </c>
      <c r="B70" s="1" t="s">
        <v>756</v>
      </c>
      <c r="C70" s="1" t="s">
        <v>755</v>
      </c>
    </row>
    <row r="71" spans="1:4">
      <c r="A71" s="19" t="s">
        <v>752</v>
      </c>
      <c r="B71">
        <v>4.3</v>
      </c>
      <c r="C71">
        <v>424671</v>
      </c>
      <c r="D71" t="s">
        <v>753</v>
      </c>
    </row>
    <row r="72" spans="1:4">
      <c r="A72" s="19" t="s">
        <v>731</v>
      </c>
      <c r="B72">
        <v>0.2</v>
      </c>
      <c r="C72">
        <v>471810</v>
      </c>
      <c r="D72" s="20" cm="1">
        <f t="array" ref="D72">SUM(B76:B84*C76:C84)/SUM(C76:C84)*100</f>
        <v>204.18373310816281</v>
      </c>
    </row>
    <row r="73" spans="1:4">
      <c r="A73" s="19" t="s">
        <v>732</v>
      </c>
      <c r="B73">
        <v>0.1</v>
      </c>
      <c r="C73">
        <v>489509</v>
      </c>
    </row>
    <row r="74" spans="1:4">
      <c r="A74" s="19" t="s">
        <v>733</v>
      </c>
      <c r="B74">
        <v>0.1</v>
      </c>
      <c r="C74">
        <v>462354</v>
      </c>
    </row>
    <row r="75" spans="1:4">
      <c r="A75" s="19" t="s">
        <v>734</v>
      </c>
      <c r="B75">
        <v>0.3</v>
      </c>
      <c r="C75">
        <v>505283</v>
      </c>
    </row>
    <row r="76" spans="1:4">
      <c r="A76" s="399" t="s">
        <v>735</v>
      </c>
      <c r="B76" s="254">
        <v>0.3</v>
      </c>
      <c r="C76" s="254">
        <v>577961</v>
      </c>
    </row>
    <row r="77" spans="1:4">
      <c r="A77" s="399" t="s">
        <v>736</v>
      </c>
      <c r="B77" s="254">
        <v>0.5</v>
      </c>
      <c r="C77" s="254">
        <v>616743</v>
      </c>
    </row>
    <row r="78" spans="1:4">
      <c r="A78" s="399" t="s">
        <v>737</v>
      </c>
      <c r="B78" s="254">
        <v>0.6</v>
      </c>
      <c r="C78" s="254">
        <v>580428</v>
      </c>
    </row>
    <row r="79" spans="1:4">
      <c r="A79" s="399" t="s">
        <v>738</v>
      </c>
      <c r="B79" s="254">
        <v>0.8</v>
      </c>
      <c r="C79" s="254">
        <v>608949</v>
      </c>
    </row>
    <row r="80" spans="1:4">
      <c r="A80" s="399" t="s">
        <v>739</v>
      </c>
      <c r="B80" s="254">
        <v>1.1000000000000001</v>
      </c>
      <c r="C80" s="254">
        <v>562105</v>
      </c>
    </row>
    <row r="81" spans="1:3">
      <c r="A81" s="399" t="s">
        <v>740</v>
      </c>
      <c r="B81" s="254">
        <v>1.4</v>
      </c>
      <c r="C81" s="254">
        <v>520244</v>
      </c>
    </row>
    <row r="82" spans="1:3">
      <c r="A82" s="399" t="s">
        <v>741</v>
      </c>
      <c r="B82" s="254">
        <v>2.4</v>
      </c>
      <c r="C82" s="254">
        <v>576596</v>
      </c>
    </row>
    <row r="83" spans="1:3">
      <c r="A83" s="399" t="s">
        <v>742</v>
      </c>
      <c r="B83" s="254">
        <v>4.2</v>
      </c>
      <c r="C83" s="254">
        <v>630297</v>
      </c>
    </row>
    <row r="84" spans="1:3">
      <c r="A84" s="399" t="s">
        <v>743</v>
      </c>
      <c r="B84" s="254">
        <v>7</v>
      </c>
      <c r="C84" s="254">
        <v>574256</v>
      </c>
    </row>
    <row r="85" spans="1:3">
      <c r="A85" s="19" t="s">
        <v>744</v>
      </c>
      <c r="B85">
        <v>11.2</v>
      </c>
      <c r="C85">
        <v>463629</v>
      </c>
    </row>
    <row r="86" spans="1:3">
      <c r="A86" s="19" t="s">
        <v>745</v>
      </c>
      <c r="B86">
        <v>17.899999999999999</v>
      </c>
      <c r="C86">
        <v>363123</v>
      </c>
    </row>
    <row r="87" spans="1:3">
      <c r="A87" s="19" t="s">
        <v>746</v>
      </c>
      <c r="B87">
        <v>30.3</v>
      </c>
      <c r="C87">
        <v>229546</v>
      </c>
    </row>
    <row r="88" spans="1:3">
      <c r="A88" s="19" t="s">
        <v>747</v>
      </c>
      <c r="B88">
        <v>52.9</v>
      </c>
      <c r="C88">
        <v>129809</v>
      </c>
    </row>
    <row r="89" spans="1:3">
      <c r="A89" s="19" t="s">
        <v>748</v>
      </c>
      <c r="B89">
        <v>96.8</v>
      </c>
      <c r="C89">
        <v>66293</v>
      </c>
    </row>
    <row r="90" spans="1:3">
      <c r="A90" s="19" t="s">
        <v>749</v>
      </c>
      <c r="B90">
        <v>170.3</v>
      </c>
      <c r="C90">
        <v>18500</v>
      </c>
    </row>
    <row r="91" spans="1:3">
      <c r="A91" s="19" t="s">
        <v>750</v>
      </c>
      <c r="B91">
        <v>262.60000000000002</v>
      </c>
      <c r="C91">
        <v>2577</v>
      </c>
    </row>
    <row r="93" spans="1:3">
      <c r="A93" s="62" t="s">
        <v>68</v>
      </c>
    </row>
  </sheetData>
  <mergeCells count="5">
    <mergeCell ref="B23:C23"/>
    <mergeCell ref="D23:E23"/>
    <mergeCell ref="F23:G23"/>
    <mergeCell ref="H23:I23"/>
    <mergeCell ref="A4:E4"/>
  </mergeCells>
  <hyperlinks>
    <hyperlink ref="A63" r:id="rId1" xr:uid="{ED0021D5-BE14-9547-9460-42CD666AA38B}"/>
    <hyperlink ref="A65" r:id="rId2" xr:uid="{7233988C-824E-1B45-9B10-FB486F03FBAF}"/>
    <hyperlink ref="A93" r:id="rId3" xr:uid="{6199FD67-3B82-7748-B844-9301F8143443}"/>
    <hyperlink ref="A1" location="'Table des matières'!A1" display="Retour à la Table des matières" xr:uid="{69EAAE5B-BB08-A041-B393-C6BFA0025F3A}"/>
  </hyperlinks>
  <pageMargins left="0.7" right="0.7" top="0.75" bottom="0.75" header="0.3" footer="0.3"/>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00468C-877C-604B-8D44-FD516A3EC15D}">
  <sheetPr codeName="Sheet16"/>
  <dimension ref="A1:H84"/>
  <sheetViews>
    <sheetView tabSelected="1" topLeftCell="A4" zoomScaleNormal="100" workbookViewId="0">
      <selection activeCell="A4" sqref="A4:F4"/>
    </sheetView>
  </sheetViews>
  <sheetFormatPr baseColWidth="10" defaultRowHeight="16"/>
  <cols>
    <col min="1" max="1" width="44" customWidth="1"/>
    <col min="2" max="2" width="26.6640625" customWidth="1"/>
    <col min="3" max="3" width="17.6640625" customWidth="1"/>
    <col min="4" max="4" width="19.1640625" customWidth="1"/>
    <col min="5" max="5" width="17.6640625" customWidth="1"/>
    <col min="6" max="6" width="21.5" customWidth="1"/>
    <col min="7" max="7" width="23.33203125" customWidth="1"/>
    <col min="8" max="8" width="24.6640625" customWidth="1"/>
    <col min="9" max="9" width="15" bestFit="1" customWidth="1"/>
  </cols>
  <sheetData>
    <row r="1" spans="1:8">
      <c r="A1" s="501" t="s">
        <v>841</v>
      </c>
    </row>
    <row r="2" spans="1:8" ht="26">
      <c r="A2" s="48" t="s">
        <v>21</v>
      </c>
      <c r="B2" s="48"/>
    </row>
    <row r="4" spans="1:8" ht="218" customHeight="1">
      <c r="A4" s="637" t="s">
        <v>1093</v>
      </c>
      <c r="B4" s="637"/>
      <c r="C4" s="637"/>
      <c r="D4" s="637"/>
      <c r="E4" s="637"/>
      <c r="F4" s="637"/>
    </row>
    <row r="5" spans="1:8" ht="35" thickBot="1">
      <c r="A5" s="52"/>
      <c r="B5" s="55" t="s">
        <v>10</v>
      </c>
      <c r="C5" s="95" t="s">
        <v>11</v>
      </c>
      <c r="D5" s="57" t="s">
        <v>12</v>
      </c>
      <c r="E5" s="58" t="s">
        <v>13</v>
      </c>
    </row>
    <row r="6" spans="1:8">
      <c r="A6" s="19" t="s">
        <v>614</v>
      </c>
      <c r="B6" s="53">
        <f>H29/('Clés de répartition'!G50*'Clés de répartition'!D134)</f>
        <v>88.126768393150229</v>
      </c>
      <c r="C6" s="53">
        <f>H30/('Clés de répartition'!H50*'Clés de répartition'!D134)</f>
        <v>3.3660695771362823</v>
      </c>
      <c r="D6" s="53">
        <f>H31/('Clés de répartition'!I50*'Clés de répartition'!D134)</f>
        <v>156.93299453011502</v>
      </c>
      <c r="E6" s="53">
        <f>H32/('Clés de répartition'!J50*'Clés de répartition'!D134)</f>
        <v>202.33168345012874</v>
      </c>
      <c r="F6" s="53"/>
      <c r="G6" s="54"/>
    </row>
    <row r="7" spans="1:8" ht="34">
      <c r="A7" s="111" t="s">
        <v>615</v>
      </c>
      <c r="B7" s="54">
        <f>('Caché - Accident'!F29+0.95*('Caché - Accident'!F31+'Caché - Accident'!F32))/('Clés de répartition'!G50*'Clés de répartition'!D134)</f>
        <v>1674.0990702518939</v>
      </c>
      <c r="C7" s="54">
        <f>F30/('Clés de répartition'!H50*'Clés de répartition'!D134)</f>
        <v>38.111270532249712</v>
      </c>
      <c r="D7" s="54">
        <f>0.025*F31/('Clés de répartition'!I50*'Clés de répartition'!D134)</f>
        <v>32.097511581101905</v>
      </c>
      <c r="E7" s="54">
        <f>0.025*F32/('Clés de répartition'!J50*'Clés de répartition'!D134)</f>
        <v>28.7420362406652</v>
      </c>
      <c r="F7" s="53"/>
      <c r="G7" s="54"/>
    </row>
    <row r="8" spans="1:8">
      <c r="F8" s="53"/>
    </row>
    <row r="9" spans="1:8">
      <c r="A9" t="s">
        <v>616</v>
      </c>
    </row>
    <row r="10" spans="1:8">
      <c r="A10" s="62" t="s">
        <v>617</v>
      </c>
      <c r="B10" s="16"/>
      <c r="C10" s="16"/>
      <c r="D10" s="16"/>
      <c r="E10" s="16"/>
    </row>
    <row r="11" spans="1:8">
      <c r="A11" s="3" t="s">
        <v>885</v>
      </c>
      <c r="B11" s="1" t="s">
        <v>117</v>
      </c>
      <c r="C11" s="4" t="s">
        <v>118</v>
      </c>
      <c r="D11" s="4" t="s">
        <v>119</v>
      </c>
      <c r="E11" s="4" t="s">
        <v>120</v>
      </c>
      <c r="F11" s="4" t="s">
        <v>136</v>
      </c>
      <c r="G11" s="4" t="s">
        <v>137</v>
      </c>
      <c r="H11" s="4" t="s">
        <v>613</v>
      </c>
    </row>
    <row r="12" spans="1:8">
      <c r="A12" s="63" t="s">
        <v>121</v>
      </c>
      <c r="B12" s="504">
        <v>29</v>
      </c>
      <c r="C12" s="504">
        <v>113</v>
      </c>
      <c r="D12" s="504">
        <v>4334</v>
      </c>
      <c r="E12" s="504">
        <v>9727</v>
      </c>
      <c r="F12" s="68">
        <f t="shared" ref="F12:F27" si="0">B12*$B$35+C12*$C$35+D12*$D$35+E12*$E$35</f>
        <v>796537035.59640002</v>
      </c>
      <c r="G12" s="68">
        <f t="shared" ref="G12:G27" si="1">B12*$B$36+C12*$C$36+D12*$D$36+E12*$E$36</f>
        <v>1081485109.4900999</v>
      </c>
      <c r="H12" s="54">
        <f t="shared" ref="H12:H27" si="2">B12*$B$34+C12*$C$34+D12*$D$34</f>
        <v>54294591</v>
      </c>
    </row>
    <row r="13" spans="1:8">
      <c r="A13" s="63" t="s">
        <v>122</v>
      </c>
      <c r="B13" s="504">
        <v>0</v>
      </c>
      <c r="C13" s="504">
        <v>5</v>
      </c>
      <c r="D13" s="504">
        <v>159</v>
      </c>
      <c r="E13" s="504">
        <v>128</v>
      </c>
      <c r="F13" s="68">
        <f t="shared" si="0"/>
        <v>19781503.093800001</v>
      </c>
      <c r="G13" s="68">
        <f t="shared" si="1"/>
        <v>28764186.614100002</v>
      </c>
      <c r="H13" s="54">
        <f t="shared" si="2"/>
        <v>1747145</v>
      </c>
    </row>
    <row r="14" spans="1:8">
      <c r="A14" s="63" t="s">
        <v>123</v>
      </c>
      <c r="B14" s="504">
        <v>0</v>
      </c>
      <c r="C14" s="504">
        <v>4</v>
      </c>
      <c r="D14" s="504">
        <v>10</v>
      </c>
      <c r="E14" s="504">
        <v>51</v>
      </c>
      <c r="F14" s="68">
        <f t="shared" si="0"/>
        <v>5358078.9864000008</v>
      </c>
      <c r="G14" s="68">
        <f t="shared" si="1"/>
        <v>7517095.0974000003</v>
      </c>
      <c r="H14" s="54">
        <f t="shared" si="2"/>
        <v>1199648</v>
      </c>
    </row>
    <row r="15" spans="1:8">
      <c r="A15" s="63" t="s">
        <v>124</v>
      </c>
      <c r="B15" s="504">
        <v>2</v>
      </c>
      <c r="C15" s="504">
        <v>4</v>
      </c>
      <c r="D15" s="504">
        <v>171</v>
      </c>
      <c r="E15" s="504">
        <v>214</v>
      </c>
      <c r="F15" s="68">
        <f t="shared" si="0"/>
        <v>28641938.514000002</v>
      </c>
      <c r="G15" s="68">
        <f t="shared" si="1"/>
        <v>41166992.2839</v>
      </c>
      <c r="H15" s="54">
        <f t="shared" si="2"/>
        <v>2406738</v>
      </c>
    </row>
    <row r="16" spans="1:8">
      <c r="A16" s="63" t="s">
        <v>125</v>
      </c>
      <c r="B16" s="504">
        <v>2</v>
      </c>
      <c r="C16" s="504">
        <v>10</v>
      </c>
      <c r="D16" s="504">
        <v>226</v>
      </c>
      <c r="E16" s="504">
        <v>1078</v>
      </c>
      <c r="F16" s="68">
        <f t="shared" si="0"/>
        <v>63218851.533600003</v>
      </c>
      <c r="G16" s="68">
        <f t="shared" si="1"/>
        <v>80698173.738000005</v>
      </c>
      <c r="H16" s="54">
        <f t="shared" si="2"/>
        <v>4273810</v>
      </c>
    </row>
    <row r="17" spans="1:8">
      <c r="A17" s="63" t="s">
        <v>126</v>
      </c>
      <c r="B17" s="504">
        <v>3</v>
      </c>
      <c r="C17" s="504">
        <v>5</v>
      </c>
      <c r="D17" s="504">
        <v>76</v>
      </c>
      <c r="E17" s="504">
        <v>711</v>
      </c>
      <c r="F17" s="68">
        <f t="shared" si="0"/>
        <v>40068659.332800001</v>
      </c>
      <c r="G17" s="68">
        <f t="shared" si="1"/>
        <v>50681423.967299998</v>
      </c>
      <c r="H17" s="54">
        <f t="shared" si="2"/>
        <v>3009375</v>
      </c>
    </row>
    <row r="18" spans="1:8">
      <c r="A18" s="63" t="s">
        <v>127</v>
      </c>
      <c r="B18" s="504">
        <v>1</v>
      </c>
      <c r="C18" s="504">
        <v>0</v>
      </c>
      <c r="D18" s="504">
        <v>20</v>
      </c>
      <c r="E18" s="504">
        <v>136</v>
      </c>
      <c r="F18" s="68">
        <f t="shared" si="0"/>
        <v>8655856.5450000018</v>
      </c>
      <c r="G18" s="68">
        <f t="shared" si="1"/>
        <v>11243812.169100001</v>
      </c>
      <c r="H18" s="54">
        <f t="shared" si="2"/>
        <v>501300</v>
      </c>
    </row>
    <row r="19" spans="1:8">
      <c r="A19" s="63" t="s">
        <v>128</v>
      </c>
      <c r="B19" s="504">
        <v>3</v>
      </c>
      <c r="C19" s="504">
        <v>16</v>
      </c>
      <c r="D19" s="504">
        <v>154</v>
      </c>
      <c r="E19" s="504">
        <v>48</v>
      </c>
      <c r="F19" s="68">
        <f t="shared" si="0"/>
        <v>34692378.0462</v>
      </c>
      <c r="G19" s="68">
        <f t="shared" si="1"/>
        <v>53408564.124300003</v>
      </c>
      <c r="H19" s="54">
        <f t="shared" si="2"/>
        <v>6393752</v>
      </c>
    </row>
    <row r="20" spans="1:8">
      <c r="A20" s="63" t="s">
        <v>129</v>
      </c>
      <c r="B20" s="504">
        <v>0</v>
      </c>
      <c r="C20" s="504">
        <v>1</v>
      </c>
      <c r="D20" s="504">
        <v>66</v>
      </c>
      <c r="E20" s="504">
        <v>5</v>
      </c>
      <c r="F20" s="68">
        <f t="shared" si="0"/>
        <v>5948802.5561999995</v>
      </c>
      <c r="G20" s="68">
        <f t="shared" si="1"/>
        <v>9212300.6094000023</v>
      </c>
      <c r="H20" s="54">
        <f t="shared" si="2"/>
        <v>407227</v>
      </c>
    </row>
    <row r="21" spans="1:8">
      <c r="A21" s="63" t="s">
        <v>130</v>
      </c>
      <c r="B21" s="504">
        <v>0</v>
      </c>
      <c r="C21" s="504">
        <v>0</v>
      </c>
      <c r="D21" s="504">
        <v>0</v>
      </c>
      <c r="E21" s="504">
        <v>1</v>
      </c>
      <c r="F21" s="68">
        <f t="shared" si="0"/>
        <v>29829.441600000002</v>
      </c>
      <c r="G21" s="68">
        <f t="shared" si="1"/>
        <v>29829.441600000002</v>
      </c>
      <c r="H21" s="54">
        <f t="shared" si="2"/>
        <v>0</v>
      </c>
    </row>
    <row r="22" spans="1:8">
      <c r="A22" s="63" t="s">
        <v>131</v>
      </c>
      <c r="B22" s="504">
        <v>0</v>
      </c>
      <c r="C22" s="504">
        <v>0</v>
      </c>
      <c r="D22" s="504">
        <v>0</v>
      </c>
      <c r="E22" s="504">
        <v>0</v>
      </c>
      <c r="F22" s="68">
        <f t="shared" si="0"/>
        <v>0</v>
      </c>
      <c r="G22" s="68">
        <f t="shared" si="1"/>
        <v>0</v>
      </c>
      <c r="H22" s="54">
        <f t="shared" si="2"/>
        <v>0</v>
      </c>
    </row>
    <row r="23" spans="1:8">
      <c r="A23" s="63" t="s">
        <v>132</v>
      </c>
      <c r="B23" s="504">
        <v>1</v>
      </c>
      <c r="C23" s="504">
        <v>20</v>
      </c>
      <c r="D23" s="504">
        <v>541</v>
      </c>
      <c r="E23" s="504">
        <v>16</v>
      </c>
      <c r="F23" s="68">
        <f t="shared" si="0"/>
        <v>60163472.649000004</v>
      </c>
      <c r="G23" s="68">
        <f t="shared" si="1"/>
        <v>93749397.583800003</v>
      </c>
      <c r="H23" s="54">
        <f t="shared" si="2"/>
        <v>7295530</v>
      </c>
    </row>
    <row r="24" spans="1:8">
      <c r="A24" s="63" t="s">
        <v>133</v>
      </c>
      <c r="B24" s="504">
        <v>1</v>
      </c>
      <c r="C24" s="504">
        <v>1</v>
      </c>
      <c r="D24" s="504">
        <v>84</v>
      </c>
      <c r="E24" s="504">
        <v>232</v>
      </c>
      <c r="F24" s="68">
        <f t="shared" si="0"/>
        <v>17166682.822799999</v>
      </c>
      <c r="G24" s="68">
        <f t="shared" si="1"/>
        <v>22932349.286699999</v>
      </c>
      <c r="H24" s="54">
        <f t="shared" si="2"/>
        <v>905147</v>
      </c>
    </row>
    <row r="25" spans="1:8">
      <c r="A25" s="63" t="s">
        <v>134</v>
      </c>
      <c r="B25" s="504">
        <v>22</v>
      </c>
      <c r="C25" s="504">
        <v>72</v>
      </c>
      <c r="D25" s="504">
        <v>847</v>
      </c>
      <c r="E25" s="504">
        <v>0</v>
      </c>
      <c r="F25" s="68">
        <f t="shared" si="0"/>
        <v>187544844.25320002</v>
      </c>
      <c r="G25" s="68">
        <f t="shared" si="1"/>
        <v>293079006.70230001</v>
      </c>
      <c r="H25" s="54">
        <f t="shared" si="2"/>
        <v>33005894</v>
      </c>
    </row>
    <row r="26" spans="1:8">
      <c r="A26" s="63" t="s">
        <v>135</v>
      </c>
      <c r="B26" s="504">
        <v>0</v>
      </c>
      <c r="C26" s="504">
        <v>20</v>
      </c>
      <c r="D26" s="504">
        <v>351</v>
      </c>
      <c r="E26" s="504">
        <v>1850</v>
      </c>
      <c r="F26" s="68">
        <f t="shared" si="0"/>
        <v>97312901.615999997</v>
      </c>
      <c r="G26" s="68">
        <f t="shared" si="1"/>
        <v>121018957.7877</v>
      </c>
      <c r="H26" s="54">
        <f t="shared" si="2"/>
        <v>6506930</v>
      </c>
    </row>
    <row r="27" spans="1:8" ht="17">
      <c r="A27" s="66" t="s">
        <v>40</v>
      </c>
      <c r="B27" s="504">
        <v>37</v>
      </c>
      <c r="C27" s="504">
        <v>152</v>
      </c>
      <c r="D27" s="504">
        <v>4871</v>
      </c>
      <c r="E27" s="504">
        <v>10350</v>
      </c>
      <c r="F27" s="68">
        <f t="shared" si="0"/>
        <v>910627428.98819995</v>
      </c>
      <c r="G27" s="68">
        <f t="shared" si="1"/>
        <v>1249318318.0296001</v>
      </c>
      <c r="H27" s="54">
        <f t="shared" si="2"/>
        <v>70473914</v>
      </c>
    </row>
    <row r="28" spans="1:8">
      <c r="A28" s="66"/>
      <c r="B28" s="52"/>
      <c r="C28" s="52"/>
      <c r="D28" s="52"/>
      <c r="E28" s="52"/>
      <c r="F28" s="68"/>
      <c r="G28" s="68"/>
    </row>
    <row r="29" spans="1:8" ht="17">
      <c r="A29" s="69" t="s">
        <v>10</v>
      </c>
      <c r="B29" s="52">
        <f>B12</f>
        <v>29</v>
      </c>
      <c r="C29" s="52">
        <f t="shared" ref="C29:E29" si="3">C12</f>
        <v>113</v>
      </c>
      <c r="D29" s="52">
        <f t="shared" si="3"/>
        <v>4334</v>
      </c>
      <c r="E29" s="52">
        <f t="shared" si="3"/>
        <v>9727</v>
      </c>
      <c r="F29" s="73">
        <f>B29*$B$35+C29*$C$35+D29*$D$35+E29*$E$35</f>
        <v>796537035.59640002</v>
      </c>
      <c r="G29" s="73">
        <f>B29*$B$36+C29*$C$36+D29*$D$36+E29*$E$36</f>
        <v>1081485109.4900999</v>
      </c>
      <c r="H29" s="59">
        <f>B29*$B$34+C29*$C$34+D29*$D$34</f>
        <v>54294591</v>
      </c>
    </row>
    <row r="30" spans="1:8" ht="17">
      <c r="A30" s="72" t="s">
        <v>11</v>
      </c>
      <c r="B30" s="52">
        <f>B13</f>
        <v>0</v>
      </c>
      <c r="C30" s="52">
        <f>C13</f>
        <v>5</v>
      </c>
      <c r="D30" s="52">
        <f>D13</f>
        <v>159</v>
      </c>
      <c r="E30" s="52">
        <f t="shared" ref="E30" si="4">E13</f>
        <v>128</v>
      </c>
      <c r="F30" s="73">
        <f>B30*$B$35+C30*$C$35+D30*$D$35+E30*$E$35</f>
        <v>19781503.093800001</v>
      </c>
      <c r="G30" s="73">
        <f>B30*$B$36+C30*$C$36+D30*$D$36+E30*$E$36</f>
        <v>28764186.614100002</v>
      </c>
      <c r="H30" s="59">
        <f>B30*$B$34+C30*$C$34+D30*$D$34</f>
        <v>1747145</v>
      </c>
    </row>
    <row r="31" spans="1:8">
      <c r="A31" s="70" t="s">
        <v>12</v>
      </c>
      <c r="B31" s="52">
        <f>B23</f>
        <v>1</v>
      </c>
      <c r="C31" s="52">
        <f t="shared" ref="C31:D31" si="5">C23</f>
        <v>20</v>
      </c>
      <c r="D31" s="52">
        <f t="shared" si="5"/>
        <v>541</v>
      </c>
      <c r="E31" s="52">
        <v>0</v>
      </c>
      <c r="F31" s="73">
        <f>B31*$B$35+C31*$C$35+D31*$D$35+E31*$E$35</f>
        <v>59686201.583400004</v>
      </c>
      <c r="G31" s="73">
        <f>B31*$B$36+C31*$C$36+D31*$D$36+E31*$E$36</f>
        <v>93272126.51820001</v>
      </c>
      <c r="H31" s="59">
        <f>B31*$B$34+C31*$C$34+D31*$D$34</f>
        <v>7295530</v>
      </c>
    </row>
    <row r="32" spans="1:8">
      <c r="A32" s="71" t="s">
        <v>95</v>
      </c>
      <c r="B32" s="52">
        <f>B25</f>
        <v>22</v>
      </c>
      <c r="C32" s="52">
        <f t="shared" ref="C32:E32" si="6">C25</f>
        <v>72</v>
      </c>
      <c r="D32" s="52">
        <f t="shared" si="6"/>
        <v>847</v>
      </c>
      <c r="E32" s="52">
        <f t="shared" si="6"/>
        <v>0</v>
      </c>
      <c r="F32" s="73">
        <f>B32*$B$35+C32*$C$35+D32*$D$35+E32*$E$35</f>
        <v>187544844.25320002</v>
      </c>
      <c r="G32" s="73">
        <f>B32*$B$36+C32*$C$36+D32*$D$36+E32*$E$36</f>
        <v>293079006.70230001</v>
      </c>
      <c r="H32" s="59">
        <f>B32*$B$34+C32*$C$34+D32*$D$34</f>
        <v>33005894</v>
      </c>
    </row>
    <row r="33" spans="1:8" ht="17">
      <c r="A33" s="66" t="s">
        <v>40</v>
      </c>
      <c r="B33" s="52">
        <f>SUM(B29:B32)</f>
        <v>52</v>
      </c>
      <c r="C33" s="52">
        <f t="shared" ref="C33:E33" si="7">SUM(C29:C32)</f>
        <v>210</v>
      </c>
      <c r="D33" s="52">
        <f t="shared" si="7"/>
        <v>5881</v>
      </c>
      <c r="E33" s="52">
        <f t="shared" si="7"/>
        <v>9855</v>
      </c>
      <c r="F33" s="117">
        <f>SUM(F29:F32)</f>
        <v>1063549584.5268</v>
      </c>
      <c r="G33" s="117">
        <f t="shared" ref="G33" si="8">SUM(G29:G32)</f>
        <v>1496600429.3246999</v>
      </c>
      <c r="H33" s="117">
        <f t="shared" ref="H33" si="9">SUM(H29:H32)</f>
        <v>96343160</v>
      </c>
    </row>
    <row r="34" spans="1:8" ht="17">
      <c r="A34" s="66" t="s">
        <v>288</v>
      </c>
      <c r="B34" s="117">
        <v>467500</v>
      </c>
      <c r="C34" s="117">
        <v>295687</v>
      </c>
      <c r="D34" s="117">
        <v>1690</v>
      </c>
      <c r="E34" s="117">
        <v>0</v>
      </c>
      <c r="F34" s="52"/>
      <c r="G34" s="52"/>
    </row>
    <row r="35" spans="1:8" ht="34">
      <c r="A35" s="66" t="s">
        <v>683</v>
      </c>
      <c r="B35" s="67">
        <f>2676502*'Privé - Achat&amp;Utilisation'!$B$14</f>
        <v>3074497.8474000003</v>
      </c>
      <c r="C35" s="67">
        <f>'Privé - Achat&amp;Utilisation'!$B$14*669126</f>
        <v>768625.03620000009</v>
      </c>
      <c r="D35" s="67">
        <f>'Privé - Achat&amp;Utilisation'!$B$14*66360</f>
        <v>76227.732000000004</v>
      </c>
      <c r="E35" s="67">
        <f>'Privé - Achat&amp;Utilisation'!$B$14*25968</f>
        <v>29829.441600000002</v>
      </c>
      <c r="F35" s="67"/>
      <c r="G35" s="65"/>
    </row>
    <row r="36" spans="1:8" ht="34">
      <c r="A36" s="66" t="s">
        <v>684</v>
      </c>
      <c r="B36" s="53">
        <f>'Privé - Achat&amp;Utilisation'!$B$14*4182625</f>
        <v>4804581.3375000004</v>
      </c>
      <c r="C36" s="53">
        <f>'Privé - Achat&amp;Utilisation'!$B$14*1045656</f>
        <v>1201145.0472000001</v>
      </c>
      <c r="D36" s="53">
        <f>'Privé - Achat&amp;Utilisation'!$B$14*103701</f>
        <v>119121.33870000001</v>
      </c>
      <c r="E36" s="53">
        <f>'Privé - Achat&amp;Utilisation'!$B$14*25968</f>
        <v>29829.441600000002</v>
      </c>
      <c r="F36" s="53"/>
    </row>
    <row r="37" spans="1:8">
      <c r="A37" s="66"/>
    </row>
    <row r="39" spans="1:8">
      <c r="A39" s="66"/>
      <c r="B39" s="116"/>
      <c r="C39" s="116"/>
      <c r="D39" s="116"/>
      <c r="E39" s="116"/>
    </row>
    <row r="41" spans="1:8">
      <c r="A41" s="23" t="s">
        <v>138</v>
      </c>
    </row>
    <row r="42" spans="1:8">
      <c r="A42" s="45" t="s">
        <v>68</v>
      </c>
      <c r="F42" s="54"/>
    </row>
    <row r="43" spans="1:8">
      <c r="A43" s="23" t="s">
        <v>685</v>
      </c>
    </row>
    <row r="44" spans="1:8">
      <c r="A44" s="45" t="s">
        <v>68</v>
      </c>
    </row>
    <row r="45" spans="1:8">
      <c r="A45" s="23" t="s">
        <v>289</v>
      </c>
    </row>
    <row r="46" spans="1:8">
      <c r="A46" s="62" t="s">
        <v>68</v>
      </c>
    </row>
    <row r="47" spans="1:8">
      <c r="B47" s="303"/>
      <c r="C47" s="305"/>
      <c r="D47" s="241"/>
      <c r="E47" s="303"/>
      <c r="F47" s="305"/>
      <c r="G47" s="241"/>
    </row>
    <row r="48" spans="1:8">
      <c r="A48" s="19"/>
      <c r="B48" s="339"/>
      <c r="C48" s="338"/>
      <c r="D48" s="338"/>
      <c r="E48" s="339"/>
      <c r="F48" s="338"/>
      <c r="G48" s="338"/>
    </row>
    <row r="49" spans="1:8" ht="17">
      <c r="A49" s="66" t="s">
        <v>1073</v>
      </c>
      <c r="B49" s="52"/>
      <c r="C49" s="52"/>
      <c r="D49" s="52"/>
      <c r="E49" s="52"/>
      <c r="F49" s="68"/>
      <c r="G49" s="68"/>
    </row>
    <row r="50" spans="1:8" ht="17">
      <c r="A50" s="69" t="s">
        <v>10</v>
      </c>
      <c r="B50" s="52">
        <v>293</v>
      </c>
      <c r="C50" s="52">
        <v>813</v>
      </c>
      <c r="D50" s="52">
        <v>18918</v>
      </c>
      <c r="E50" s="52"/>
      <c r="F50" s="73">
        <f>B50*$B$35+C50*$C$35+D50*$D$35+E50*$E$35</f>
        <v>2967796257.6948004</v>
      </c>
      <c r="G50" s="73">
        <f>B50*$B$36+C50*$C$36+D50*$D$36+E50*$E$36</f>
        <v>4637810740.7877007</v>
      </c>
      <c r="H50" s="59">
        <f>B50*$B$34+C50*$C$34+D50*$D$34</f>
        <v>409342451</v>
      </c>
    </row>
    <row r="51" spans="1:8" ht="17">
      <c r="A51" s="72" t="s">
        <v>11</v>
      </c>
      <c r="B51" s="52">
        <v>3</v>
      </c>
      <c r="C51" s="52">
        <v>14</v>
      </c>
      <c r="D51" s="52">
        <v>300</v>
      </c>
      <c r="E51" s="52"/>
      <c r="F51" s="73">
        <f>B51*$B$35+C51*$C$35+D51*$D$35+E51*$E$35</f>
        <v>42852563.649000004</v>
      </c>
      <c r="G51" s="73">
        <f>B51*$B$36+C51*$C$36+D51*$D$36+E51*$E$36</f>
        <v>66966176.283300005</v>
      </c>
      <c r="H51" s="59">
        <f>B51*$B$34+C51*$C$34+D51*$D$34</f>
        <v>6049118</v>
      </c>
    </row>
    <row r="52" spans="1:8">
      <c r="A52" s="70" t="s">
        <v>12</v>
      </c>
      <c r="B52" s="52">
        <v>9</v>
      </c>
      <c r="C52" s="52">
        <v>70</v>
      </c>
      <c r="D52" s="52">
        <v>1249</v>
      </c>
      <c r="E52" s="52"/>
      <c r="F52" s="73">
        <f>B52*$B$35+C52*$C$35+D52*$D$35+E52*$E$35</f>
        <v>176682670.42860001</v>
      </c>
      <c r="G52" s="73">
        <f>B52*$B$36+C52*$C$36+D52*$D$36+E52*$E$36</f>
        <v>276103937.37779999</v>
      </c>
      <c r="H52" s="59">
        <f>B52*$B$34+C52*$C$34+D52*$D$34</f>
        <v>27016400</v>
      </c>
    </row>
    <row r="53" spans="1:8">
      <c r="A53" s="71" t="s">
        <v>95</v>
      </c>
      <c r="B53" s="52">
        <v>81</v>
      </c>
      <c r="C53" s="52">
        <v>202</v>
      </c>
      <c r="D53" s="52">
        <v>1867</v>
      </c>
      <c r="E53" s="52"/>
      <c r="F53" s="73">
        <f>B53*$B$35+C53*$C$35+D53*$D$35+E53*$E$35</f>
        <v>546613758.59580004</v>
      </c>
      <c r="G53" s="73">
        <f>B53*$B$36+C53*$C$36+D53*$D$36+E53*$E$36</f>
        <v>854201927.22480011</v>
      </c>
      <c r="H53" s="59">
        <f>B53*$B$34+C53*$C$34+D53*$D$34</f>
        <v>100751504</v>
      </c>
    </row>
    <row r="54" spans="1:8" ht="17">
      <c r="A54" s="66" t="s">
        <v>40</v>
      </c>
      <c r="B54" s="52">
        <f>SUM(B50:B53)</f>
        <v>386</v>
      </c>
      <c r="C54" s="52">
        <f t="shared" ref="C54" si="10">SUM(C50:C53)</f>
        <v>1099</v>
      </c>
      <c r="D54" s="52">
        <f t="shared" ref="D54" si="11">SUM(D50:D53)</f>
        <v>22334</v>
      </c>
      <c r="E54" s="52">
        <f t="shared" ref="E54" si="12">SUM(E50:E53)</f>
        <v>0</v>
      </c>
      <c r="F54" s="117">
        <f>SUM(F50:F53)</f>
        <v>3733945250.3682003</v>
      </c>
      <c r="G54" s="117">
        <f t="shared" ref="G54" si="13">SUM(G50:G53)</f>
        <v>5835082781.6736012</v>
      </c>
      <c r="H54" s="117">
        <f t="shared" ref="H54" si="14">SUM(H50:H53)</f>
        <v>543159473</v>
      </c>
    </row>
    <row r="55" spans="1:8">
      <c r="A55" s="19"/>
      <c r="B55" s="308"/>
      <c r="C55" s="327"/>
      <c r="D55" s="327"/>
      <c r="E55" s="327"/>
      <c r="F55" s="365"/>
      <c r="G55" s="308"/>
    </row>
    <row r="56" spans="1:8">
      <c r="A56" s="19"/>
      <c r="B56" s="308"/>
      <c r="C56" s="327"/>
      <c r="D56" s="327"/>
      <c r="E56" s="327"/>
      <c r="F56" s="365"/>
      <c r="G56" s="308"/>
    </row>
    <row r="57" spans="1:8">
      <c r="A57" s="19"/>
      <c r="B57" s="308"/>
      <c r="C57" s="327"/>
      <c r="D57" s="327"/>
      <c r="E57" s="327"/>
      <c r="F57" s="365"/>
      <c r="G57" s="308"/>
    </row>
    <row r="58" spans="1:8">
      <c r="A58" s="19"/>
      <c r="B58" s="308"/>
      <c r="C58" s="308"/>
      <c r="D58" s="308"/>
      <c r="E58" s="308"/>
      <c r="F58" s="308"/>
      <c r="G58" s="308"/>
    </row>
    <row r="59" spans="1:8">
      <c r="A59" s="19"/>
      <c r="B59" s="308"/>
      <c r="C59" s="308"/>
      <c r="D59" s="308"/>
      <c r="E59" s="308"/>
      <c r="F59" s="308"/>
      <c r="G59" s="308"/>
    </row>
    <row r="60" spans="1:8">
      <c r="A60" s="19"/>
      <c r="B60" s="308"/>
      <c r="C60" s="308"/>
      <c r="D60" s="308"/>
      <c r="E60" s="308"/>
      <c r="F60" s="308"/>
      <c r="G60" s="308"/>
    </row>
    <row r="61" spans="1:8">
      <c r="A61" s="19"/>
      <c r="B61" s="308"/>
      <c r="C61" s="308"/>
      <c r="D61" s="308"/>
      <c r="E61" s="308"/>
      <c r="F61" s="308"/>
      <c r="G61" s="308"/>
    </row>
    <row r="62" spans="1:8">
      <c r="A62" s="19"/>
      <c r="B62" s="308"/>
      <c r="C62" s="308"/>
      <c r="D62" s="308"/>
      <c r="E62" s="308"/>
      <c r="F62" s="308"/>
      <c r="G62" s="308"/>
    </row>
    <row r="63" spans="1:8">
      <c r="A63" s="19"/>
      <c r="B63" s="308"/>
      <c r="C63" s="308"/>
      <c r="D63" s="308"/>
      <c r="E63" s="308"/>
      <c r="F63" s="308"/>
      <c r="G63" s="308"/>
    </row>
    <row r="64" spans="1:8">
      <c r="A64" s="19"/>
      <c r="B64" s="308"/>
      <c r="C64" s="308"/>
      <c r="D64" s="308"/>
      <c r="E64" s="308"/>
      <c r="F64" s="308"/>
      <c r="G64" s="308"/>
    </row>
    <row r="65" spans="1:7">
      <c r="A65" s="107"/>
      <c r="B65" s="308"/>
      <c r="C65" s="308"/>
      <c r="D65" s="308"/>
      <c r="E65" s="308"/>
      <c r="F65" s="308"/>
      <c r="G65" s="308"/>
    </row>
    <row r="66" spans="1:7">
      <c r="A66" s="66"/>
      <c r="B66" s="308"/>
      <c r="C66" s="308"/>
      <c r="D66" s="308"/>
      <c r="E66" s="308"/>
      <c r="F66" s="308"/>
      <c r="G66" s="308"/>
    </row>
    <row r="67" spans="1:7">
      <c r="A67" s="66"/>
      <c r="B67" s="308"/>
      <c r="C67" s="308"/>
      <c r="D67" s="308"/>
      <c r="E67" s="308"/>
      <c r="F67" s="308"/>
      <c r="G67" s="308"/>
    </row>
    <row r="68" spans="1:7">
      <c r="A68" s="66"/>
      <c r="B68" s="308"/>
      <c r="C68" s="308"/>
      <c r="D68" s="308"/>
      <c r="E68" s="308"/>
      <c r="F68" s="308"/>
      <c r="G68" s="308"/>
    </row>
    <row r="69" spans="1:7">
      <c r="A69" s="63"/>
      <c r="B69" s="308"/>
      <c r="C69" s="308"/>
      <c r="D69" s="308"/>
      <c r="E69" s="308"/>
      <c r="F69" s="308"/>
      <c r="G69" s="308"/>
    </row>
    <row r="70" spans="1:7">
      <c r="A70" s="63"/>
      <c r="B70" s="308"/>
      <c r="C70" s="308"/>
      <c r="D70" s="308"/>
      <c r="E70" s="308"/>
      <c r="F70" s="308"/>
      <c r="G70" s="308"/>
    </row>
    <row r="71" spans="1:7">
      <c r="A71" s="66"/>
      <c r="B71" s="308"/>
      <c r="C71" s="308"/>
      <c r="D71" s="308"/>
      <c r="E71" s="308"/>
      <c r="F71" s="308"/>
      <c r="G71" s="308"/>
    </row>
    <row r="72" spans="1:7">
      <c r="A72" s="63"/>
      <c r="B72" s="308"/>
      <c r="C72" s="308"/>
      <c r="D72" s="308"/>
      <c r="E72" s="308"/>
      <c r="F72" s="308"/>
      <c r="G72" s="308"/>
    </row>
    <row r="73" spans="1:7">
      <c r="A73" s="63"/>
      <c r="B73" s="308"/>
      <c r="C73" s="308"/>
      <c r="D73" s="308"/>
      <c r="E73" s="308"/>
      <c r="F73" s="308"/>
      <c r="G73" s="308"/>
    </row>
    <row r="74" spans="1:7">
      <c r="A74" s="63"/>
      <c r="B74" s="308"/>
      <c r="C74" s="308"/>
      <c r="D74" s="308"/>
      <c r="E74" s="308"/>
      <c r="F74" s="308"/>
      <c r="G74" s="308"/>
    </row>
    <row r="75" spans="1:7">
      <c r="A75" s="63"/>
      <c r="B75" s="308"/>
      <c r="C75" s="308"/>
      <c r="D75" s="308"/>
      <c r="E75" s="308"/>
      <c r="F75" s="308"/>
      <c r="G75" s="308"/>
    </row>
    <row r="76" spans="1:7">
      <c r="A76" s="63"/>
      <c r="B76" s="308"/>
      <c r="C76" s="308"/>
      <c r="D76" s="308"/>
      <c r="E76" s="308"/>
      <c r="F76" s="308"/>
      <c r="G76" s="308"/>
    </row>
    <row r="77" spans="1:7">
      <c r="A77" s="63"/>
      <c r="B77" s="308"/>
      <c r="C77" s="308"/>
      <c r="D77" s="308"/>
      <c r="E77" s="308"/>
      <c r="F77" s="308"/>
      <c r="G77" s="308"/>
    </row>
    <row r="78" spans="1:7">
      <c r="A78" s="63"/>
      <c r="B78" s="308"/>
      <c r="C78" s="308"/>
      <c r="D78" s="308"/>
      <c r="E78" s="308"/>
      <c r="F78" s="308"/>
      <c r="G78" s="308"/>
    </row>
    <row r="79" spans="1:7">
      <c r="A79" s="63"/>
      <c r="B79" s="308"/>
      <c r="C79" s="308"/>
      <c r="D79" s="308"/>
      <c r="E79" s="308"/>
      <c r="F79" s="308"/>
      <c r="G79" s="308"/>
    </row>
    <row r="80" spans="1:7">
      <c r="A80" s="63"/>
      <c r="B80" s="308"/>
      <c r="C80" s="308"/>
      <c r="D80" s="308"/>
      <c r="E80" s="308"/>
      <c r="F80" s="308"/>
      <c r="G80" s="308"/>
    </row>
    <row r="81" spans="1:7">
      <c r="A81" s="63"/>
      <c r="B81" s="308"/>
      <c r="C81" s="308"/>
      <c r="D81" s="308"/>
      <c r="E81" s="308"/>
      <c r="F81" s="308"/>
      <c r="G81" s="308"/>
    </row>
    <row r="82" spans="1:7">
      <c r="A82" s="63"/>
      <c r="B82" s="308"/>
      <c r="C82" s="308"/>
      <c r="D82" s="308"/>
      <c r="E82" s="308"/>
      <c r="F82" s="308"/>
      <c r="G82" s="308"/>
    </row>
    <row r="83" spans="1:7">
      <c r="A83" s="63"/>
      <c r="B83" s="308"/>
      <c r="C83" s="308"/>
      <c r="D83" s="308"/>
      <c r="E83" s="308"/>
      <c r="F83" s="308"/>
      <c r="G83" s="308"/>
    </row>
    <row r="84" spans="1:7">
      <c r="A84" s="63"/>
      <c r="B84" s="308"/>
      <c r="C84" s="308"/>
      <c r="D84" s="308"/>
      <c r="E84" s="308"/>
      <c r="F84" s="308"/>
      <c r="G84" s="308"/>
    </row>
  </sheetData>
  <mergeCells count="1">
    <mergeCell ref="A4:F4"/>
  </mergeCells>
  <hyperlinks>
    <hyperlink ref="A42" r:id="rId1" location="tri_tertr=50040009500000000" xr:uid="{D5D5BCA9-977D-7D45-81AA-AD49C9FB6B5B}"/>
    <hyperlink ref="A44" r:id="rId2" xr:uid="{62FC1726-7748-5744-8190-3926208A8BCF}"/>
    <hyperlink ref="A46" r:id="rId3" xr:uid="{F0B95AA1-B0A1-FB47-88CA-E7958FD07BB4}"/>
    <hyperlink ref="A10" r:id="rId4" xr:uid="{443B9B8C-A7A9-A94E-93F9-8B3AC556D7EA}"/>
    <hyperlink ref="A1" location="'Table des matières'!A1" display="Retour à la Table des matières" xr:uid="{D267358C-F3AA-6A4F-97F1-1EB5E83E9A06}"/>
  </hyperlinks>
  <pageMargins left="0.7" right="0.7" top="0.75" bottom="0.75" header="0.3" footer="0.3"/>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90FBD1-8102-DF48-8E9A-4D36D9C19F6D}">
  <sheetPr codeName="Sheet17"/>
  <dimension ref="A1:R166"/>
  <sheetViews>
    <sheetView zoomScaleNormal="100" workbookViewId="0"/>
  </sheetViews>
  <sheetFormatPr baseColWidth="10" defaultRowHeight="16"/>
  <cols>
    <col min="1" max="1" width="17.33203125" customWidth="1"/>
    <col min="2" max="2" width="35.1640625" customWidth="1"/>
    <col min="3" max="3" width="25.83203125" bestFit="1" customWidth="1"/>
    <col min="4" max="4" width="25.83203125" customWidth="1"/>
    <col min="5" max="5" width="20.5" customWidth="1"/>
    <col min="6" max="6" width="23" customWidth="1"/>
    <col min="7" max="7" width="17.1640625" customWidth="1"/>
    <col min="8" max="8" width="26" customWidth="1"/>
    <col min="9" max="9" width="20" customWidth="1"/>
    <col min="10" max="10" width="17.33203125" customWidth="1"/>
    <col min="11" max="11" width="20.83203125" customWidth="1"/>
    <col min="12" max="12" width="19.5" customWidth="1"/>
    <col min="13" max="13" width="20.6640625" customWidth="1"/>
    <col min="14" max="14" width="17.1640625" customWidth="1"/>
    <col min="15" max="15" width="14.6640625" customWidth="1"/>
    <col min="16" max="16" width="19.83203125" customWidth="1"/>
    <col min="17" max="17" width="14.6640625" customWidth="1"/>
    <col min="18" max="18" width="17.33203125" customWidth="1"/>
    <col min="22" max="22" width="11.1640625" bestFit="1" customWidth="1"/>
  </cols>
  <sheetData>
    <row r="1" spans="1:16">
      <c r="A1" s="501" t="s">
        <v>841</v>
      </c>
    </row>
    <row r="2" spans="1:16" ht="26">
      <c r="A2" s="48" t="s">
        <v>22</v>
      </c>
    </row>
    <row r="4" spans="1:16" ht="147" customHeight="1">
      <c r="A4" s="637" t="s">
        <v>1094</v>
      </c>
      <c r="B4" s="637"/>
      <c r="C4" s="637"/>
      <c r="D4" s="637"/>
      <c r="E4" s="637"/>
      <c r="F4" s="637"/>
    </row>
    <row r="6" spans="1:16" ht="18" thickBot="1">
      <c r="A6" s="107" t="s">
        <v>317</v>
      </c>
      <c r="B6" s="139" t="s">
        <v>10</v>
      </c>
      <c r="C6" s="140" t="s">
        <v>11</v>
      </c>
      <c r="D6" s="141" t="s">
        <v>12</v>
      </c>
      <c r="E6" s="135" t="s">
        <v>13</v>
      </c>
    </row>
    <row r="7" spans="1:16">
      <c r="A7" t="s">
        <v>759</v>
      </c>
      <c r="B7" s="53" cm="1">
        <f t="array" ref="B7">IF(Bienvenue!G11=1,INDEX(L17:O32,Bienvenue!G10,1), INDEX(L34:O52,Bienvenue!G11-1,1))</f>
        <v>1082.0465271106448</v>
      </c>
      <c r="C7" s="53" cm="1">
        <f t="array" ref="C7">IF(Bienvenue!G11=1,INDEX(L17:O32,Bienvenue!G10,2), INDEX(L34:O52,Bienvenue!G11-1,2))</f>
        <v>265.89170504895156</v>
      </c>
      <c r="D7" s="53" cm="1">
        <f t="array" ref="D7">IF(Bienvenue!G11=1,INDEX(L17:O32,Bienvenue!G10,3), INDEX(L34:O52,Bienvenue!G11-1,3))</f>
        <v>737.47473660951164</v>
      </c>
      <c r="E7" s="53" cm="1">
        <f t="array" ref="E7">IF(Bienvenue!G11=1,INDEX(L17:O32,Bienvenue!G10,4), INDEX(L34:O52,Bienvenue!G11-1,4))</f>
        <v>501.98833941476369</v>
      </c>
    </row>
    <row r="8" spans="1:16">
      <c r="A8" t="s">
        <v>4</v>
      </c>
      <c r="B8" s="53" cm="1">
        <f t="array" ref="B8">IF(Bienvenue!G11=1,INDEX(I61:I76,Bienvenue!G10,1), INDEX(I78:I96,Bienvenue!G11-1,1))+IF(Bienvenue!G11=1,INDEX(P17:P32,Bienvenue!G10,1), INDEX(P34:P52,Bienvenue!G11-1,1))</f>
        <v>930.70401031305369</v>
      </c>
      <c r="H8" s="54"/>
    </row>
    <row r="9" spans="1:16">
      <c r="A9" t="s">
        <v>630</v>
      </c>
      <c r="C9" s="59"/>
      <c r="D9" s="59"/>
      <c r="E9" s="59"/>
      <c r="F9" s="59"/>
      <c r="G9" s="59"/>
      <c r="H9" s="59"/>
    </row>
    <row r="10" spans="1:16">
      <c r="A10" t="s">
        <v>631</v>
      </c>
      <c r="C10" s="54"/>
      <c r="D10" s="54"/>
      <c r="E10" s="54"/>
      <c r="F10" s="54"/>
      <c r="G10" s="54"/>
      <c r="H10" s="54"/>
      <c r="L10" s="54"/>
      <c r="M10" s="54"/>
      <c r="N10" s="54"/>
      <c r="O10" s="54"/>
    </row>
    <row r="11" spans="1:16">
      <c r="A11" t="s">
        <v>824</v>
      </c>
      <c r="C11" s="54"/>
      <c r="D11" s="54"/>
      <c r="E11" s="54"/>
      <c r="F11" s="54"/>
      <c r="G11" s="54"/>
      <c r="H11" s="54"/>
      <c r="L11" s="54"/>
      <c r="M11" s="54"/>
      <c r="N11" s="54"/>
      <c r="O11" s="54"/>
    </row>
    <row r="12" spans="1:16">
      <c r="A12" t="s">
        <v>693</v>
      </c>
      <c r="B12" s="16">
        <v>0.05</v>
      </c>
      <c r="D12" s="61"/>
    </row>
    <row r="13" spans="1:16">
      <c r="A13" t="s">
        <v>694</v>
      </c>
      <c r="B13">
        <v>25</v>
      </c>
    </row>
    <row r="14" spans="1:16">
      <c r="A14" t="s">
        <v>757</v>
      </c>
      <c r="B14" s="16">
        <f>1431.38/(1431.38+2226.91)</f>
        <v>0.39127023828072682</v>
      </c>
      <c r="H14" s="1"/>
      <c r="I14" s="1"/>
      <c r="J14" s="1"/>
      <c r="K14" s="1"/>
      <c r="L14" s="1"/>
      <c r="M14" s="1"/>
      <c r="N14" s="1"/>
      <c r="O14" s="1"/>
    </row>
    <row r="15" spans="1:16">
      <c r="H15" s="647" t="s">
        <v>40</v>
      </c>
      <c r="I15" s="647"/>
      <c r="J15" s="647"/>
      <c r="K15" s="647"/>
      <c r="L15" s="647" t="s">
        <v>309</v>
      </c>
      <c r="M15" s="647"/>
      <c r="N15" s="647"/>
      <c r="O15" s="647"/>
      <c r="P15" t="s">
        <v>758</v>
      </c>
    </row>
    <row r="16" spans="1:16" ht="34" customHeight="1" thickBot="1">
      <c r="A16" t="s">
        <v>406</v>
      </c>
      <c r="B16" s="720" t="s">
        <v>695</v>
      </c>
      <c r="C16" s="720"/>
      <c r="D16" s="351" t="s">
        <v>692</v>
      </c>
      <c r="E16" s="49" t="s">
        <v>696</v>
      </c>
      <c r="F16" s="49" t="s">
        <v>115</v>
      </c>
      <c r="G16" s="49" t="s">
        <v>697</v>
      </c>
      <c r="H16" s="335" t="s">
        <v>10</v>
      </c>
      <c r="I16" s="300" t="s">
        <v>11</v>
      </c>
      <c r="J16" s="57" t="s">
        <v>12</v>
      </c>
      <c r="K16" s="135" t="s">
        <v>13</v>
      </c>
      <c r="L16" s="335" t="s">
        <v>10</v>
      </c>
      <c r="M16" s="300" t="s">
        <v>11</v>
      </c>
      <c r="N16" s="57" t="s">
        <v>12</v>
      </c>
      <c r="O16" s="58" t="s">
        <v>13</v>
      </c>
      <c r="P16" s="335" t="s">
        <v>10</v>
      </c>
    </row>
    <row r="17" spans="1:18" ht="17">
      <c r="B17" s="229" t="s">
        <v>202</v>
      </c>
      <c r="C17" s="390">
        <f>SUM(C18:C32)</f>
        <v>198872584448</v>
      </c>
      <c r="D17" s="61">
        <f>C17*$B$12*(1+$B$12)^$B$13/((1+$B$12)^$B$13-1)</f>
        <v>14110498556.034157</v>
      </c>
      <c r="E17" s="51">
        <f>SUM(E18:E32)</f>
        <v>404.26544413999989</v>
      </c>
      <c r="F17" s="50">
        <f>D17/E17</f>
        <v>34904043.272982776</v>
      </c>
      <c r="G17" s="50">
        <f>F17/1000000</f>
        <v>34.904043272982776</v>
      </c>
      <c r="H17" s="112">
        <f>SUM(H18:H32)</f>
        <v>1095141208.2002475</v>
      </c>
      <c r="I17" s="112">
        <f>SUM(I18:I32)</f>
        <v>138010029.90941507</v>
      </c>
      <c r="J17" s="112">
        <f t="shared" ref="J17:K17" si="0">SUM(J18:J32)</f>
        <v>34283861.601483241</v>
      </c>
      <c r="K17" s="112">
        <f t="shared" si="0"/>
        <v>81888182.994551018</v>
      </c>
      <c r="L17" s="585">
        <f>H17/( 'Clés de répartition'!B50*'Clés de répartition'!$D134)*(1-$B$14)</f>
        <v>1082.0465271106448</v>
      </c>
      <c r="M17" s="53">
        <f>I17/( 'Clés de répartition'!C50*'Clés de répartition'!$D134)</f>
        <v>265.89170504895156</v>
      </c>
      <c r="N17" s="53">
        <f>J17/( 'Clés de répartition'!D50*'Clés de répartition'!$D134)</f>
        <v>737.47473660951164</v>
      </c>
      <c r="O17" s="53">
        <f>K17/( 'Clés de répartition'!E50*'Clés de répartition'!$D134)</f>
        <v>501.98833941476369</v>
      </c>
      <c r="P17" s="53">
        <f>IF('Clés de répartition'!B50&gt;0,H17/( 'Clés de répartition'!B50*'Clés de répartition'!$D134),0)*$B$14</f>
        <v>695.50173018920168</v>
      </c>
      <c r="Q17" s="438"/>
      <c r="R17" s="54"/>
    </row>
    <row r="18" spans="1:18" ht="17">
      <c r="A18">
        <v>66112</v>
      </c>
      <c r="B18" s="229" t="s">
        <v>71</v>
      </c>
      <c r="C18" s="391">
        <v>1289085309</v>
      </c>
      <c r="D18" s="61">
        <f>C18*$B$12*(1+$B$12)^$B$13/((1+$B$12)^$B$13-1)</f>
        <v>91463770.341886729</v>
      </c>
      <c r="E18" s="51">
        <v>4.8705356600000105</v>
      </c>
      <c r="F18" s="50">
        <f t="shared" ref="F18:F52" si="1">D18/E18</f>
        <v>18778996.136512537</v>
      </c>
      <c r="G18" s="50">
        <f t="shared" ref="G18:G52" si="2">F18/1000000</f>
        <v>18.778996136512536</v>
      </c>
      <c r="H18" s="112">
        <f>$F18*'Clés de répartition'!K8*(1-'Clés de répartition'!$B$299)*'Clés de répartition'!$B$297</f>
        <v>2486519.597890059</v>
      </c>
      <c r="I18" s="112">
        <f>$F18*'Clés de répartition'!L8*'Clés de répartition'!$F$255*'Clés de répartition'!$F$269</f>
        <v>84969.671855630426</v>
      </c>
      <c r="J18" s="112">
        <f>$F18*('Clés de répartition'!P8+IF(AND('Résultat - projection'!$B$210&lt;&gt;1,'Résultat - projection'!$B$209=2),'Clés de répartition'!I8-'Clés de répartition'!M195,0))*'Clés de répartition'!$B$189</f>
        <v>23995.3997279873</v>
      </c>
      <c r="K18" s="112">
        <f>$F18*'Clés de répartition'!N8</f>
        <v>36707.911441868135</v>
      </c>
      <c r="L18" s="155">
        <f>H18/( 'Clés de répartition'!B51*'Clés de répartition'!$D135)*(1-$B$14)</f>
        <v>1315.557051193048</v>
      </c>
      <c r="M18" s="53">
        <f>I18/( 'Clés de répartition'!C51*'Clés de répartition'!$D135)</f>
        <v>166.69466539895711</v>
      </c>
      <c r="N18" s="53">
        <f>J18/( 'Clés de répartition'!D51*'Clés de répartition'!$D135)</f>
        <v>709.69228848328783</v>
      </c>
      <c r="O18" s="53">
        <f>K18/( 'Clés de répartition'!E51*'Clés de répartition'!$D135)</f>
        <v>163.8941203007293</v>
      </c>
      <c r="P18" s="53">
        <f>IF('Clés de répartition'!B51&gt;0,H18/( 'Clés de répartition'!B51*'Clés de répartition'!$D135),0)*$B$14</f>
        <v>845.59414252785496</v>
      </c>
    </row>
    <row r="19" spans="1:18" ht="17">
      <c r="A19">
        <v>66107</v>
      </c>
      <c r="B19" s="229" t="s">
        <v>72</v>
      </c>
      <c r="C19" s="391">
        <v>3439182321</v>
      </c>
      <c r="D19" s="61">
        <f t="shared" ref="D19:D52" si="3">C19*$B$12*(1+$B$12)^$B$13/((1+$B$12)^$B$13-1)</f>
        <v>244018436.77501795</v>
      </c>
      <c r="E19" s="51">
        <v>8.345431469999907</v>
      </c>
      <c r="F19" s="50">
        <f t="shared" si="1"/>
        <v>29239762.815405477</v>
      </c>
      <c r="G19" s="50">
        <f t="shared" si="2"/>
        <v>29.239762815405477</v>
      </c>
      <c r="H19" s="155">
        <f>$F19*'Clés de répartition'!K9*(1-'Clés de répartition'!$B$299)*'Clés de répartition'!$B$297</f>
        <v>10901317.60040468</v>
      </c>
      <c r="I19" s="53">
        <f>$F19*'Clés de répartition'!L9*'Clés de répartition'!$F$255*'Clés de répartition'!$F$269</f>
        <v>384883.58306492999</v>
      </c>
      <c r="J19" s="53">
        <f>$F19*('Clés de répartition'!P9+IF(AND('Résultat - projection'!$B$210&lt;&gt;1,'Résultat - projection'!$B$209=2),'Clés de répartition'!I9-'Clés de répartition'!M196,0))*'Clés de répartition'!$B$189</f>
        <v>155984.42810204078</v>
      </c>
      <c r="K19" s="53">
        <f>$F19*'Clés de répartition'!N9</f>
        <v>34629.38378240959</v>
      </c>
      <c r="L19" s="155">
        <f>H19/( 'Clés de répartition'!B52*'Clés de répartition'!$D136)*(1-$B$14)</f>
        <v>940.71907173056093</v>
      </c>
      <c r="M19" s="53">
        <f>I19/( 'Clés de répartition'!C52*'Clés de répartition'!$D136)</f>
        <v>114.96022775250489</v>
      </c>
      <c r="N19" s="53">
        <f>J19/( 'Clés de répartition'!D52*'Clés de répartition'!$D136)</f>
        <v>1817.5360276920289</v>
      </c>
      <c r="O19" s="53">
        <f>K19/( 'Clés de répartition'!E52*'Clés de répartition'!$D136)</f>
        <v>134.95237465165604</v>
      </c>
      <c r="P19" s="53">
        <f>IF('Clés de répartition'!B52&gt;0,H19/( 'Clés de répartition'!B52*'Clés de répartition'!$D136),0)*$B$14</f>
        <v>604.66137602942672</v>
      </c>
    </row>
    <row r="20" spans="1:18" ht="17">
      <c r="A20">
        <v>66058</v>
      </c>
      <c r="B20" s="229" t="s">
        <v>73</v>
      </c>
      <c r="C20" s="391">
        <v>2974102737</v>
      </c>
      <c r="D20" s="61">
        <f t="shared" si="3"/>
        <v>211019897.45051444</v>
      </c>
      <c r="E20" s="51">
        <v>6.7192060199999863</v>
      </c>
      <c r="F20" s="50">
        <f t="shared" si="1"/>
        <v>31405481.067615021</v>
      </c>
      <c r="G20" s="50">
        <f t="shared" si="2"/>
        <v>31.405481067615021</v>
      </c>
      <c r="H20" s="155">
        <f>$F20*'Clés de répartition'!K10*(1-'Clés de répartition'!$B$299)*'Clés de répartition'!$B$297</f>
        <v>10615502.025822572</v>
      </c>
      <c r="I20" s="53">
        <f>$F20*'Clés de répartition'!L10*'Clés de répartition'!$F$255*'Clés de répartition'!$F$269</f>
        <v>1033650.0038203823</v>
      </c>
      <c r="J20" s="53">
        <f>$F20*('Clés de répartition'!P10+IF(AND('Résultat - projection'!$B$210&lt;&gt;1,'Résultat - projection'!$B$209=2),'Clés de répartition'!I10-'Clés de répartition'!M197,0))*'Clés de répartition'!$B$189</f>
        <v>48635.818789287041</v>
      </c>
      <c r="K20" s="53">
        <f>$F20*'Clés de répartition'!N10</f>
        <v>175988.86278887186</v>
      </c>
      <c r="L20" s="155">
        <f>H20/( 'Clés de répartition'!B53*'Clés de répartition'!$D137)*(1-$B$14)</f>
        <v>599.96597393983961</v>
      </c>
      <c r="M20" s="53">
        <f>I20/( 'Clés de répartition'!C53*'Clés de répartition'!$D137)</f>
        <v>156.77081316887353</v>
      </c>
      <c r="N20" s="53">
        <f>J20/( 'Clés de répartition'!D53*'Clés de répartition'!$D137)</f>
        <v>265.68670249327891</v>
      </c>
      <c r="O20" s="53">
        <f>K20/( 'Clés de répartition'!E53*'Clés de répartition'!$D137)</f>
        <v>255.6113057710283</v>
      </c>
      <c r="P20" s="53">
        <f>IF('Clés de répartition'!B53&gt;0,H20/( 'Clés de répartition'!B53*'Clés de répartition'!$D137),0)*$B$14</f>
        <v>385.63718146580135</v>
      </c>
    </row>
    <row r="21" spans="1:18" ht="17">
      <c r="A21">
        <v>66142</v>
      </c>
      <c r="B21" s="229" t="s">
        <v>74</v>
      </c>
      <c r="C21" s="391">
        <v>6202118010</v>
      </c>
      <c r="D21" s="61">
        <f t="shared" si="3"/>
        <v>440055513.26930797</v>
      </c>
      <c r="E21" s="51">
        <v>11.80388115</v>
      </c>
      <c r="F21" s="50">
        <f t="shared" si="1"/>
        <v>37280578.114708312</v>
      </c>
      <c r="G21" s="50">
        <f t="shared" si="2"/>
        <v>37.280578114708312</v>
      </c>
      <c r="H21" s="155">
        <f>$F21*'Clés de répartition'!K11*(1-'Clés de répartition'!$B$299)*'Clés de répartition'!$B$297</f>
        <v>30538235.865316112</v>
      </c>
      <c r="I21" s="53">
        <f>$F21*'Clés de répartition'!L11*'Clés de répartition'!$F$255*'Clés de répartition'!$F$269</f>
        <v>760673.16647642513</v>
      </c>
      <c r="J21" s="53">
        <f>$F21*('Clés de répartition'!P11+IF(AND('Résultat - projection'!$B$210&lt;&gt;1,'Résultat - projection'!$B$209=2),'Clés de répartition'!I11-'Clés de répartition'!M198,0))*'Clés de répartition'!$B$189</f>
        <v>354369.57744107349</v>
      </c>
      <c r="K21" s="53">
        <f>$F21*'Clés de répartition'!N11</f>
        <v>97582.755465548384</v>
      </c>
      <c r="L21" s="155">
        <f>H21/( 'Clés de répartition'!B54*'Clés de répartition'!$D138)*(1-$B$14)</f>
        <v>872.04312728227251</v>
      </c>
      <c r="M21" s="53">
        <f>I21/( 'Clés de répartition'!C54*'Clés de répartition'!$D138)</f>
        <v>110.31468654617926</v>
      </c>
      <c r="N21" s="53">
        <f>J21/( 'Clés de répartition'!D54*'Clés de répartition'!$D138)</f>
        <v>3510.3999481821402</v>
      </c>
      <c r="O21" s="53">
        <f>K21/( 'Clés de répartition'!E54*'Clés de répartition'!$D138)</f>
        <v>142.41751492068019</v>
      </c>
      <c r="P21" s="53">
        <f>IF('Clés de répartition'!B54&gt;0,H21/( 'Clés de répartition'!B54*'Clés de répartition'!$D138),0)*$B$14</f>
        <v>560.51887661795922</v>
      </c>
    </row>
    <row r="22" spans="1:18" ht="17">
      <c r="A22" t="s">
        <v>407</v>
      </c>
      <c r="B22" s="229" t="s">
        <v>294</v>
      </c>
      <c r="C22" s="391">
        <f>14970105+4130708522</f>
        <v>4145678627</v>
      </c>
      <c r="D22" s="61">
        <f t="shared" si="3"/>
        <v>294146085.75854641</v>
      </c>
      <c r="E22" s="51">
        <f>0.1806491+17.83619919</f>
        <v>18.016848289999999</v>
      </c>
      <c r="F22" s="50">
        <f t="shared" si="1"/>
        <v>16326167.652852364</v>
      </c>
      <c r="G22" s="50">
        <f t="shared" si="2"/>
        <v>16.326167652852362</v>
      </c>
      <c r="H22" s="155">
        <f>$F22*'Clés de répartition'!K12*(1-'Clés de répartition'!$B$299)*'Clés de répartition'!$B$297</f>
        <v>10328993.565500611</v>
      </c>
      <c r="I22" s="53">
        <f>$F22*'Clés de répartition'!L12*'Clés de répartition'!$F$255*'Clés de répartition'!$F$269</f>
        <v>570636.53888192645</v>
      </c>
      <c r="J22" s="53">
        <f>$F22*('Clés de répartition'!P12+IF(AND('Résultat - projection'!$B$210&lt;&gt;1,'Résultat - projection'!$B$209=2),'Clés de répartition'!I12-'Clés de répartition'!M199,0))*'Clés de répartition'!$B$189</f>
        <v>113714.13412367682</v>
      </c>
      <c r="K22" s="53">
        <f>$F22*'Clés de répartition'!N12</f>
        <v>108090.72065896852</v>
      </c>
      <c r="L22" s="155">
        <f>H22/( 'Clés de répartition'!B55*'Clés de répartition'!$D139)*(1-$B$14)</f>
        <v>725.22770339931537</v>
      </c>
      <c r="M22" s="53">
        <f>I22/( 'Clés de répartition'!C55*'Clés de répartition'!$D139)</f>
        <v>177.31596190576542</v>
      </c>
      <c r="N22" s="53">
        <f>J22/( 'Clés de répartition'!D55*'Clés de répartition'!$D139)</f>
        <v>641.08342673056552</v>
      </c>
      <c r="O22" s="53">
        <f>K22/( 'Clés de répartition'!E55*'Clés de répartition'!$D139)</f>
        <v>209.52001254164571</v>
      </c>
      <c r="P22" s="53">
        <f>IF('Clés de répartition'!B55&gt;0,H22/( 'Clés de répartition'!B55*'Clés de répartition'!$D139),0)*$B$14</f>
        <v>466.15104790571343</v>
      </c>
    </row>
    <row r="23" spans="1:18" ht="17">
      <c r="A23">
        <v>66062</v>
      </c>
      <c r="B23" s="229" t="s">
        <v>76</v>
      </c>
      <c r="C23" s="391">
        <v>1649260601</v>
      </c>
      <c r="D23" s="61">
        <f t="shared" si="3"/>
        <v>117019092.3677543</v>
      </c>
      <c r="E23" s="51">
        <v>1.254967150000005</v>
      </c>
      <c r="F23" s="50">
        <f t="shared" si="1"/>
        <v>93244745.384573475</v>
      </c>
      <c r="G23" s="50">
        <f t="shared" si="2"/>
        <v>93.244745384573477</v>
      </c>
      <c r="H23" s="155">
        <f>$F23*'Clés de répartition'!K13*(1-'Clés de répartition'!$B$299)*'Clés de répartition'!$B$297</f>
        <v>11706340.460048977</v>
      </c>
      <c r="I23" s="53">
        <f>$F23*'Clés de répartition'!L13*'Clés de répartition'!$F$255*'Clés de répartition'!$F$269</f>
        <v>1616788.5330528389</v>
      </c>
      <c r="J23" s="53">
        <f>$F23*('Clés de répartition'!P13+IF(AND('Résultat - projection'!$B$210&lt;&gt;1,'Résultat - projection'!$B$209=2),'Clés de répartition'!I13-'Clés de répartition'!M200,0))*'Clés de répartition'!$B$189</f>
        <v>46236.727989458843</v>
      </c>
      <c r="K23" s="53">
        <f>$F23*'Clés de répartition'!N13</f>
        <v>400206.48361983814</v>
      </c>
      <c r="L23" s="155">
        <f>H23/( 'Clés de répartition'!B56*'Clés de répartition'!$D140)*(1-$B$14)</f>
        <v>3740.492844328277</v>
      </c>
      <c r="M23" s="53">
        <f>I23/( 'Clés de répartition'!C56*'Clés de répartition'!$D140)</f>
        <v>859.00588773080881</v>
      </c>
      <c r="N23" s="53">
        <f>J23/( 'Clés de répartition'!D56*'Clés de répartition'!$D140)</f>
        <v>992.78262289763029</v>
      </c>
      <c r="O23" s="53">
        <f>K23/( 'Clés de répartition'!E56*'Clés de répartition'!$D140)</f>
        <v>1459.9744454376917</v>
      </c>
      <c r="P23" s="53">
        <f>IF('Clés de répartition'!B56&gt;0,H23/( 'Clés de répartition'!B56*'Clés de répartition'!$D140),0)*$B$14</f>
        <v>2404.2582086903421</v>
      </c>
    </row>
    <row r="24" spans="1:18">
      <c r="A24">
        <v>66102</v>
      </c>
      <c r="B24" s="78" t="s">
        <v>77</v>
      </c>
      <c r="C24" s="391">
        <v>3370064318</v>
      </c>
      <c r="D24" s="61">
        <f t="shared" si="3"/>
        <v>239114344.61855239</v>
      </c>
      <c r="E24" s="51">
        <v>8.5652357299999302</v>
      </c>
      <c r="F24" s="50">
        <f t="shared" si="1"/>
        <v>27916843.407012027</v>
      </c>
      <c r="G24" s="50">
        <f t="shared" si="2"/>
        <v>27.916843407012028</v>
      </c>
      <c r="H24" s="155">
        <f>$F24*'Clés de répartition'!K14*(1-'Clés de répartition'!$B$299)*'Clés de répartition'!$B$297</f>
        <v>14732457.456634393</v>
      </c>
      <c r="I24" s="53">
        <f>$F24*'Clés de répartition'!L14*'Clés de répartition'!$F$255*'Clés de répartition'!$F$269</f>
        <v>369169.12379954918</v>
      </c>
      <c r="J24" s="53">
        <f>$F24*('Clés de répartition'!P14+IF(AND('Résultat - projection'!$B$210&lt;&gt;1,'Résultat - projection'!$B$209=2),'Clés de répartition'!I14-'Clés de répartition'!M201,0))*'Clés de répartition'!$B$189</f>
        <v>2172.3057203266831</v>
      </c>
      <c r="K24" s="53">
        <f>$F24*'Clés de répartition'!N14</f>
        <v>22993.586738889939</v>
      </c>
      <c r="L24" s="155">
        <f>H24/( 'Clés de répartition'!B57*'Clés de répartition'!$D141)*(1-$B$14)</f>
        <v>1034.1929134397194</v>
      </c>
      <c r="M24" s="53">
        <f>I24/( 'Clés de répartition'!C57*'Clés de répartition'!$D141)</f>
        <v>124.4309786875628</v>
      </c>
      <c r="N24" s="53">
        <f>J24/( 'Clés de répartition'!D57*'Clés de répartition'!$D141)</f>
        <v>130.22077679123862</v>
      </c>
      <c r="O24" s="53">
        <f>K24/( 'Clés de répartition'!E57*'Clés de répartition'!$D141)</f>
        <v>161.95760470257443</v>
      </c>
      <c r="P24" s="53">
        <f>IF('Clés de répartition'!B57&gt;0,H24/( 'Clés de répartition'!B57*'Clés de répartition'!$D141),0)*$B$14</f>
        <v>664.74309803240624</v>
      </c>
    </row>
    <row r="25" spans="1:18">
      <c r="A25">
        <v>66023</v>
      </c>
      <c r="B25" s="78" t="s">
        <v>79</v>
      </c>
      <c r="C25" s="350">
        <f>SUM(C34:C52)</f>
        <v>155028073130</v>
      </c>
      <c r="D25" s="61">
        <f>C25*$B$12*(1+$B$12)^$B$13/((1+$B$12)^$B$13-1)</f>
        <v>10999622738.938171</v>
      </c>
      <c r="E25" s="51">
        <f>SUM(E34:E52)</f>
        <v>292.18588893999993</v>
      </c>
      <c r="F25" s="50">
        <f t="shared" si="1"/>
        <v>37645975.234611459</v>
      </c>
      <c r="G25" s="50">
        <f t="shared" si="2"/>
        <v>37.645975234611456</v>
      </c>
      <c r="H25" s="155">
        <f>SUM(H34:H52)</f>
        <v>909418210.7820313</v>
      </c>
      <c r="I25" s="112">
        <f t="shared" ref="I25:K25" si="4">SUM(I34:I52)</f>
        <v>123314918.95323342</v>
      </c>
      <c r="J25" s="112">
        <f t="shared" si="4"/>
        <v>32030051.027171548</v>
      </c>
      <c r="K25" s="449">
        <f t="shared" si="4"/>
        <v>76335922.047490299</v>
      </c>
      <c r="L25" s="112">
        <f>H25/( 'Clés de répartition'!B58*'Clés de répartition'!$D142)*(1-$B$14)</f>
        <v>1052.7796016615857</v>
      </c>
      <c r="M25" s="53">
        <f>I25/( 'Clés de répartition'!C58*'Clés de répartition'!$D142)</f>
        <v>257.89648488397643</v>
      </c>
      <c r="N25" s="53">
        <f>J25/( 'Clés de répartition'!D58*'Clés de répartition'!$D142)</f>
        <v>715.32435030903162</v>
      </c>
      <c r="O25" s="53">
        <f>K25/( 'Clés de répartition'!E58*'Clés de répartition'!$D142)</f>
        <v>489.71842649631145</v>
      </c>
      <c r="P25" s="53">
        <f>IF('Clés de répartition'!B58&gt;0,H25/( 'Clés de répartition'!B58*'Clés de répartition'!$D142),0)*$B$14</f>
        <v>676.68997230528441</v>
      </c>
      <c r="Q25" s="54"/>
    </row>
    <row r="26" spans="1:18">
      <c r="A26">
        <v>66007</v>
      </c>
      <c r="B26" s="78" t="s">
        <v>80</v>
      </c>
      <c r="C26" s="391">
        <v>1153975802</v>
      </c>
      <c r="D26" s="61">
        <f t="shared" si="3"/>
        <v>81877418.815749258</v>
      </c>
      <c r="E26" s="51">
        <v>11.349618630000002</v>
      </c>
      <c r="F26" s="50">
        <f>D26/E26</f>
        <v>7214111.8997008307</v>
      </c>
      <c r="G26" s="50">
        <f t="shared" si="2"/>
        <v>7.2141118997008311</v>
      </c>
      <c r="H26" s="155">
        <f>$F26*'Clés de répartition'!K16*(1-'Clés de répartition'!$B$299)*'Clés de répartition'!$B$297</f>
        <v>1846093.239467005</v>
      </c>
      <c r="I26" s="53">
        <f>$F26*'Clés de répartition'!L16*'Clés de répartition'!$F$255*'Clés de répartition'!$F$269</f>
        <v>105175.61562648627</v>
      </c>
      <c r="J26" s="53">
        <f>$F26*('Clés de répartition'!P16+IF(AND('Résultat - projection'!$B$210&lt;&gt;1,'Résultat - projection'!$B$209=2),'Clés de répartition'!I16-'Clés de répartition'!M203,0))*'Clés de répartition'!$B$189</f>
        <v>25419.170144660493</v>
      </c>
      <c r="K26" s="53">
        <f>$F26*'Clés de répartition'!N16</f>
        <v>37469.739408065245</v>
      </c>
      <c r="L26" s="155">
        <f>H26/( 'Clés de répartition'!B59*'Clés de répartition'!$D143)*(1-$B$14)</f>
        <v>592.87616980698192</v>
      </c>
      <c r="M26" s="53">
        <f>I26/( 'Clés de répartition'!C59*'Clés de répartition'!$D143)</f>
        <v>105.99588180744465</v>
      </c>
      <c r="N26" s="53">
        <f>J26/( 'Clés de répartition'!D59*'Clés de répartition'!$D143)</f>
        <v>1289.2374436086102</v>
      </c>
      <c r="O26" s="53">
        <f>K26/( 'Clés de répartition'!E59*'Clés de répartition'!$D143)</f>
        <v>146.23581901485565</v>
      </c>
      <c r="P26" s="53">
        <f>IF('Clés de répartition'!B59&gt;0,H26/( 'Clés de répartition'!B59*'Clés de répartition'!$D143),0)*$B$14</f>
        <v>381.08010289518563</v>
      </c>
      <c r="Q26" s="54"/>
    </row>
    <row r="27" spans="1:18" ht="17">
      <c r="A27">
        <v>66047</v>
      </c>
      <c r="B27" s="229" t="s">
        <v>81</v>
      </c>
      <c r="C27" s="391">
        <v>915156300</v>
      </c>
      <c r="D27" s="61">
        <f t="shared" si="3"/>
        <v>64932588.297870971</v>
      </c>
      <c r="E27" s="51">
        <v>1.0717566199999982</v>
      </c>
      <c r="F27" s="50">
        <f t="shared" si="1"/>
        <v>60585199.182507575</v>
      </c>
      <c r="G27" s="50">
        <f t="shared" si="2"/>
        <v>60.585199182507573</v>
      </c>
      <c r="H27" s="155">
        <f>$F27*'Clés de répartition'!K17*(1-'Clés de répartition'!$B$299)*'Clés de répartition'!$B$297</f>
        <v>4916481.1879987884</v>
      </c>
      <c r="I27" s="53">
        <f>$F27*'Clés de répartition'!L17*'Clés de répartition'!$F$255*'Clés de répartition'!$F$269</f>
        <v>790098.94265403831</v>
      </c>
      <c r="J27" s="53">
        <f>$F27*('Clés de répartition'!P17+IF(AND('Résultat - projection'!$B$210&lt;&gt;1,'Résultat - projection'!$B$209=2),'Clés de répartition'!I17-'Clés de répartition'!M204,0))*'Clés de répartition'!$B$189</f>
        <v>53694.523933165641</v>
      </c>
      <c r="K27" s="53">
        <f>$F27*'Clés de répartition'!N17</f>
        <v>150013.70616641015</v>
      </c>
      <c r="L27" s="155">
        <f>H27/( 'Clés de répartition'!B60*'Clés de répartition'!$D144)*(1-$B$14)</f>
        <v>2033.008290453773</v>
      </c>
      <c r="M27" s="53">
        <f>I27/( 'Clés de répartition'!C60*'Clés de répartition'!$D144)</f>
        <v>607.76163498470589</v>
      </c>
      <c r="N27" s="53">
        <f>J27/( 'Clés de répartition'!D60*'Clés de répartition'!$D144)</f>
        <v>735.94184497129527</v>
      </c>
      <c r="O27" s="53">
        <f>K27/( 'Clés de répartition'!E60*'Clés de répartition'!$D144)</f>
        <v>982.62109390493492</v>
      </c>
      <c r="P27" s="53">
        <f>IF('Clés de répartition'!B60&gt;0,H27/( 'Clés de répartition'!B60*'Clés de répartition'!$D144),0)*$B$14</f>
        <v>1306.746750784595</v>
      </c>
    </row>
    <row r="28" spans="1:18" ht="17">
      <c r="A28">
        <v>66072</v>
      </c>
      <c r="B28" s="229" t="s">
        <v>78</v>
      </c>
      <c r="C28" s="391">
        <v>6148715605</v>
      </c>
      <c r="D28" s="61">
        <f t="shared" si="3"/>
        <v>436266481.40886933</v>
      </c>
      <c r="E28" s="51">
        <v>5.4954787100000004</v>
      </c>
      <c r="F28" s="50">
        <f t="shared" si="1"/>
        <v>79386438.276069552</v>
      </c>
      <c r="G28" s="50">
        <f t="shared" si="2"/>
        <v>79.386438276069555</v>
      </c>
      <c r="H28" s="155">
        <f>$F28*'Clés de répartition'!K18*(1-'Clés de répartition'!$B$299)*'Clés de répartition'!$B$297</f>
        <v>34092597.096474446</v>
      </c>
      <c r="I28" s="53">
        <f>$F28*'Clés de répartition'!L18*'Clés de répartition'!$F$255*'Clés de répartition'!$F$269</f>
        <v>3934432.0237437785</v>
      </c>
      <c r="J28" s="53">
        <f>$F28*('Clés de répartition'!P18+IF(AND('Résultat - projection'!$B$210&lt;&gt;1,'Résultat - projection'!$B$209=2),'Clés de répartition'!I18-'Clés de répartition'!M205,0))*'Clés de répartition'!$B$189</f>
        <v>264022.42983149819</v>
      </c>
      <c r="K28" s="53">
        <f>$F28*'Clés de répartition'!N18</f>
        <v>1245838.486596436</v>
      </c>
      <c r="L28" s="155">
        <f>H28/( 'Clés de répartition'!B61*'Clés de répartition'!$D145)*(1-$B$14)</f>
        <v>3485.1526657904883</v>
      </c>
      <c r="M28" s="53">
        <f>I28/( 'Clés de répartition'!C61*'Clés de répartition'!$D145)</f>
        <v>847.03093884241503</v>
      </c>
      <c r="N28" s="53">
        <f>J28/( 'Clés de répartition'!D61*'Clés de répartition'!$D145)</f>
        <v>1028.1396832533453</v>
      </c>
      <c r="O28" s="53">
        <f>K28/( 'Clés de répartition'!E61*'Clés de répartition'!$D145)</f>
        <v>1381.2031757892851</v>
      </c>
      <c r="P28" s="53">
        <f>IF('Clés de répartition'!B61&gt;0,H28/( 'Clés de répartition'!B61*'Clés de répartition'!$D145),0)*$B$14</f>
        <v>2240.1344566054263</v>
      </c>
    </row>
    <row r="29" spans="1:18">
      <c r="A29">
        <v>66097</v>
      </c>
      <c r="B29" s="78" t="s">
        <v>82</v>
      </c>
      <c r="C29" s="391">
        <v>5467706949</v>
      </c>
      <c r="D29" s="61">
        <f t="shared" si="3"/>
        <v>387947243.82362354</v>
      </c>
      <c r="E29" s="51">
        <v>15.067169750000181</v>
      </c>
      <c r="F29" s="50">
        <f t="shared" si="1"/>
        <v>25747851.139967337</v>
      </c>
      <c r="G29" s="50">
        <f t="shared" si="2"/>
        <v>25.747851139967338</v>
      </c>
      <c r="H29" s="155">
        <f>$F29*'Clés de répartition'!K19*(1-'Clés de répartition'!$B$299)*'Clés de répartition'!$B$297</f>
        <v>22408968.202317644</v>
      </c>
      <c r="I29" s="53">
        <f>$F29*'Clés de répartition'!L19*'Clés de répartition'!$F$255*'Clés de répartition'!$F$269</f>
        <v>907505.30359132541</v>
      </c>
      <c r="J29" s="53">
        <f>$F29*('Clés de répartition'!P19+IF(AND('Résultat - projection'!$B$210&lt;&gt;1,'Résultat - projection'!$B$209=2),'Clés de répartition'!I19-'Clés de répartition'!M206,0))*'Clés de répartition'!$B$189</f>
        <v>401908.05411962362</v>
      </c>
      <c r="K29" s="53">
        <f>$F29*'Clés de répartition'!N19</f>
        <v>364058.51572378312</v>
      </c>
      <c r="L29" s="155">
        <f>H29/( 'Clés de répartition'!B62*'Clés de répartition'!$D146)*(1-$B$14)</f>
        <v>984.05660285493104</v>
      </c>
      <c r="M29" s="53">
        <f>I29/( 'Clés de répartition'!C62*'Clés de répartition'!$D146)</f>
        <v>229.94021968430584</v>
      </c>
      <c r="N29" s="53">
        <f>J29/( 'Clés de répartition'!D62*'Clés de répartition'!$D146)</f>
        <v>1396.5447127395073</v>
      </c>
      <c r="O29" s="53">
        <f>K29/( 'Clés de répartition'!E62*'Clés de répartition'!$D146)</f>
        <v>276.09681833234686</v>
      </c>
      <c r="P29" s="53">
        <f>IF('Clés de répartition'!B62&gt;0,H29/( 'Clés de répartition'!B62*'Clés de répartition'!$D146),0)*$B$14</f>
        <v>632.51722799506547</v>
      </c>
    </row>
    <row r="30" spans="1:18" ht="17">
      <c r="A30">
        <v>66117</v>
      </c>
      <c r="B30" s="229" t="s">
        <v>83</v>
      </c>
      <c r="C30" s="391">
        <v>726813515</v>
      </c>
      <c r="D30" s="61">
        <f t="shared" si="3"/>
        <v>51569204.887540489</v>
      </c>
      <c r="E30" s="51">
        <v>9.5224986899999884</v>
      </c>
      <c r="F30" s="50">
        <f t="shared" si="1"/>
        <v>5415511.8909804281</v>
      </c>
      <c r="G30" s="50">
        <f t="shared" si="2"/>
        <v>5.4155118909804285</v>
      </c>
      <c r="H30" s="155">
        <f>$F30*'Clés de répartition'!K20*(1-'Clés de répartition'!$B$299)*'Clés de répartition'!$B$297</f>
        <v>832594.33466537728</v>
      </c>
      <c r="I30" s="53">
        <f>$F30*'Clés de répartition'!L20*'Clés de répartition'!$F$255*'Clés de répartition'!$F$269</f>
        <v>29678.721880320496</v>
      </c>
      <c r="J30" s="53">
        <f>$F30*('Clés de répartition'!P20+IF(AND('Résultat - projection'!$B$210&lt;&gt;1,'Résultat - projection'!$B$209=2),'Clés de répartition'!I20-'Clés de répartition'!M207,0))*'Clés de répartition'!$B$189</f>
        <v>39548.521026912749</v>
      </c>
      <c r="K30" s="53">
        <f>$F30*'Clés de répartition'!N20</f>
        <v>9080.1299233471946</v>
      </c>
      <c r="L30" s="155">
        <f>H30/( 'Clés de répartition'!B63*'Clés de répartition'!$D147)*(1-$B$14)</f>
        <v>227.37528895519191</v>
      </c>
      <c r="M30" s="53">
        <f>I30/( 'Clés de répartition'!C63*'Clés de répartition'!$D147)</f>
        <v>37.36382794358304</v>
      </c>
      <c r="N30" s="53">
        <f>J30/( 'Clés de répartition'!D63*'Clés de répartition'!$D147)</f>
        <v>2831.4066068225825</v>
      </c>
      <c r="O30" s="53">
        <f>K30/( 'Clés de répartition'!E63*'Clés de répartition'!$D147)</f>
        <v>46.310332774251343</v>
      </c>
      <c r="P30" s="53">
        <f>IF('Clés de répartition'!B63&gt;0,H30/( 'Clés de répartition'!B63*'Clés de répartition'!$D147),0)*$B$14</f>
        <v>146.14889739804599</v>
      </c>
    </row>
    <row r="31" spans="1:18" ht="17">
      <c r="A31">
        <v>66127</v>
      </c>
      <c r="B31" s="229" t="s">
        <v>84</v>
      </c>
      <c r="C31" s="391">
        <v>450229208</v>
      </c>
      <c r="D31" s="61">
        <f t="shared" si="3"/>
        <v>31944868.655485969</v>
      </c>
      <c r="E31" s="51">
        <v>6.9216449700000018</v>
      </c>
      <c r="F31" s="50">
        <f>D31/E31</f>
        <v>4615213.4057644336</v>
      </c>
      <c r="G31" s="50">
        <f t="shared" si="2"/>
        <v>4.6152134057644334</v>
      </c>
      <c r="H31" s="155">
        <f>$F31*'Clés de répartition'!K21*(1-'Clés de répartition'!$B$299)*'Clés de répartition'!$B$297</f>
        <v>175365.24778170642</v>
      </c>
      <c r="I31" s="53">
        <f>$F31*'Clés de répartition'!L21*'Clés de répartition'!$F$255*'Clés de répartition'!$F$269</f>
        <v>301.70264813763134</v>
      </c>
      <c r="J31" s="53">
        <f>$F31*('Clés de répartition'!P21+IF(AND('Résultat - projection'!$B$210&lt;&gt;1,'Résultat - projection'!$B$209=2),'Clés de répartition'!I21-'Clés de répartition'!M208,0))*'Clés de répartition'!$B$189</f>
        <v>69.606610807730476</v>
      </c>
      <c r="K31" s="53">
        <f>$F31*'Clés de répartition'!N21</f>
        <v>0</v>
      </c>
      <c r="L31" s="155">
        <f>H31/( 'Clés de répartition'!B64*'Clés de répartition'!$D148)*(1-$B$14)</f>
        <v>234.08163190890025</v>
      </c>
      <c r="M31" s="53">
        <f>I31/( 'Clés de répartition'!C64*'Clés de répartition'!$D148)</f>
        <v>2.6034939104629666</v>
      </c>
      <c r="N31" s="53">
        <f>J31/( 'Clés de répartition'!D64*'Clés de répartition'!$D148)</f>
        <v>1.7988732535209289</v>
      </c>
      <c r="O31" s="53">
        <f>IF('Clés de répartition'!E64=0,0,K31/( 'Clés de répartition'!E64*'Clés de répartition'!$D148))</f>
        <v>0</v>
      </c>
      <c r="P31" s="53">
        <f>IF('Clés de répartition'!B64&gt;0,H31/( 'Clés de répartition'!B64*'Clés de répartition'!$D148),0)*$B$14</f>
        <v>150.45950051046594</v>
      </c>
    </row>
    <row r="32" spans="1:18">
      <c r="A32">
        <v>66032</v>
      </c>
      <c r="B32" s="78" t="s">
        <v>85</v>
      </c>
      <c r="C32" s="391">
        <v>5912422016</v>
      </c>
      <c r="D32" s="61">
        <f t="shared" si="3"/>
        <v>419500870.62526512</v>
      </c>
      <c r="E32" s="51">
        <v>3.0752823599999948</v>
      </c>
      <c r="F32" s="50">
        <f t="shared" si="1"/>
        <v>136410521.54484633</v>
      </c>
      <c r="G32" s="50">
        <f t="shared" si="2"/>
        <v>136.41052154484632</v>
      </c>
      <c r="H32" s="155">
        <f>$F32*'Clés de répartition'!K22*(1-'Clés de répartition'!$B$299)*'Clés de répartition'!$B$297</f>
        <v>30141531.537893977</v>
      </c>
      <c r="I32" s="53">
        <f>$F32*'Clés de répartition'!L22*'Clés de répartition'!$F$255*'Clés de répartition'!$F$269</f>
        <v>4107148.025085886</v>
      </c>
      <c r="J32" s="53">
        <f>$F32*('Clés de répartition'!P22+IF(AND('Résultat - projection'!$B$210&lt;&gt;1,'Résultat - projection'!$B$209=2),'Clés de répartition'!I22-'Clés de répartition'!M209,0))*'Clés de répartition'!$B$189</f>
        <v>724039.87675117527</v>
      </c>
      <c r="K32" s="53">
        <f>$F32*'Clés de répartition'!N22</f>
        <v>2869600.6647462812</v>
      </c>
      <c r="L32" s="155">
        <f>H32/( 'Clés de répartition'!B65*'Clés de répartition'!$D149)*(1-$B$14)</f>
        <v>3781.7957909070878</v>
      </c>
      <c r="M32" s="53">
        <f>I32/( 'Clés de répartition'!C65*'Clés de répartition'!$D149)</f>
        <v>1115.637033209616</v>
      </c>
      <c r="N32" s="53">
        <f>J32/( 'Clés de répartition'!D65*'Clés de répartition'!$D149)</f>
        <v>1920.3828628791396</v>
      </c>
      <c r="O32" s="53">
        <f>K32/( 'Clés de répartition'!E65*'Clés de répartition'!$D149)</f>
        <v>1751.1630752811891</v>
      </c>
      <c r="P32" s="53">
        <f>IF('Clés de répartition'!B65&gt;0,H32/( 'Clés de répartition'!B65*'Clés de répartition'!$D149),0)*$B$14</f>
        <v>2430.8063007434462</v>
      </c>
    </row>
    <row r="33" spans="2:17">
      <c r="B33" s="321" t="s">
        <v>409</v>
      </c>
      <c r="C33" s="322"/>
      <c r="D33" s="322"/>
      <c r="E33" s="323"/>
      <c r="F33" s="323"/>
      <c r="G33" s="323"/>
      <c r="H33" s="323"/>
      <c r="I33" s="324"/>
      <c r="J33" s="324"/>
      <c r="K33" s="269"/>
      <c r="L33" s="269"/>
      <c r="M33" s="269"/>
      <c r="N33" s="269"/>
      <c r="O33" s="269"/>
      <c r="P33" s="269"/>
    </row>
    <row r="34" spans="2:17">
      <c r="B34" s="597" t="s">
        <v>154</v>
      </c>
      <c r="C34" s="350">
        <v>11572744979</v>
      </c>
      <c r="D34" s="61">
        <f t="shared" si="3"/>
        <v>821114693.95737147</v>
      </c>
      <c r="E34" s="20">
        <v>17.864000600000001</v>
      </c>
      <c r="F34" s="50">
        <f>D34/E34</f>
        <v>45964770.845191948</v>
      </c>
      <c r="G34" s="50">
        <f t="shared" si="2"/>
        <v>45.96477084519195</v>
      </c>
      <c r="H34" s="155">
        <f>$F34*'Clés de répartition'!K24*(1-'Clés de répartition'!$B$299)*'Clés de répartition'!$B$297</f>
        <v>78032283.080653057</v>
      </c>
      <c r="I34" s="53">
        <f>$F34*'Clés de répartition'!L24*'Clés de répartition'!$F$255*'Clés de répartition'!$F$269</f>
        <v>8978328.6745817028</v>
      </c>
      <c r="J34" s="53">
        <f>$F34*('Clés de répartition'!P24+IF(AND('Résultat - projection'!$B$210&lt;&gt;1,'Résultat - projection'!$B$209=2),'Clés de répartition'!I24-'Clés de répartition'!M211,0))*'Clés de répartition'!$B$189</f>
        <v>2245895.3650962864</v>
      </c>
      <c r="K34" s="53">
        <f>$F34*'Clés de répartition'!N24</f>
        <v>3672657.5103163794</v>
      </c>
      <c r="L34" s="155">
        <f>H34/( 'Clés de répartition'!B67*'Clés de répartition'!$D151)*(1-$B$14)</f>
        <v>1193.7574168754666</v>
      </c>
      <c r="M34" s="53">
        <f>I34/( 'Clés de répartition'!C67*'Clés de répartition'!$D151)</f>
        <v>262.80897100032649</v>
      </c>
      <c r="N34" s="53">
        <f>J34/( 'Clés de répartition'!D67*'Clés de répartition'!$D151)</f>
        <v>749.53802615089865</v>
      </c>
      <c r="O34" s="53">
        <f>K34/( 'Clés de répartition'!E67*'Clés de répartition'!$D151)</f>
        <v>420.99862868500156</v>
      </c>
      <c r="P34" s="53">
        <f>IF('Clés de répartition'!B67&gt;0,H34/( 'Clés de répartition'!B67*'Clés de répartition'!$D151),0)*$B$14</f>
        <v>767.30558997319406</v>
      </c>
      <c r="Q34" s="54"/>
    </row>
    <row r="35" spans="2:17">
      <c r="B35" s="597" t="s">
        <v>155</v>
      </c>
      <c r="C35" s="350">
        <v>3330695327</v>
      </c>
      <c r="D35" s="61">
        <f t="shared" si="3"/>
        <v>236321017.96571115</v>
      </c>
      <c r="E35" s="20">
        <v>10.90015698</v>
      </c>
      <c r="F35" s="50">
        <f t="shared" si="1"/>
        <v>21680515.097105615</v>
      </c>
      <c r="G35" s="50">
        <f t="shared" si="2"/>
        <v>21.680515097105616</v>
      </c>
      <c r="H35" s="155">
        <f>$F35*'Clés de répartition'!K25*(1-'Clés de répartition'!$B$299)*'Clés de répartition'!$B$297</f>
        <v>16607214.926202476</v>
      </c>
      <c r="I35" s="53">
        <f>$F35*'Clés de répartition'!L25*'Clés de répartition'!$F$255*'Clés de répartition'!$F$269</f>
        <v>1326838.3052067286</v>
      </c>
      <c r="J35" s="53">
        <f>$F35*('Clés de répartition'!P25+IF(AND('Résultat - projection'!$B$210&lt;&gt;1,'Résultat - projection'!$B$209=2),'Clés de répartition'!I25-'Clés de répartition'!M212,0))*'Clés de répartition'!$B$189</f>
        <v>152686.13336051052</v>
      </c>
      <c r="K35" s="53">
        <f>$F35*'Clés de répartition'!N25</f>
        <v>688900.17102544953</v>
      </c>
      <c r="L35" s="155">
        <f>H35/( 'Clés de répartition'!B68*'Clés de répartition'!$D152)*(1-$B$14)</f>
        <v>738.25173481213585</v>
      </c>
      <c r="M35" s="53">
        <f>I35/( 'Clés de répartition'!C68*'Clés de répartition'!$D152)</f>
        <v>162.40931587234206</v>
      </c>
      <c r="N35" s="53">
        <f>J35/( 'Clés de répartition'!D68*'Clés de répartition'!$D152)</f>
        <v>403.78934172284215</v>
      </c>
      <c r="O35" s="53">
        <f>K35/( 'Clés de répartition'!E68*'Clés de répartition'!$D152)</f>
        <v>246.95575295872172</v>
      </c>
      <c r="P35" s="53">
        <f>IF('Clés de répartition'!B68&gt;0,H35/( 'Clés de répartition'!B68*'Clés de répartition'!$D152),0)*$B$14</f>
        <v>474.52244059050219</v>
      </c>
    </row>
    <row r="36" spans="2:17" ht="16" customHeight="1">
      <c r="B36" s="597" t="s">
        <v>156</v>
      </c>
      <c r="C36" s="350">
        <v>13512465382</v>
      </c>
      <c r="D36" s="61">
        <f t="shared" si="3"/>
        <v>958742623.02367342</v>
      </c>
      <c r="E36" s="20">
        <v>16.420811579999999</v>
      </c>
      <c r="F36" s="50">
        <f t="shared" si="1"/>
        <v>58385824.497943208</v>
      </c>
      <c r="G36" s="50">
        <f t="shared" si="2"/>
        <v>58.385824497943204</v>
      </c>
      <c r="H36" s="155">
        <f>$F36*'Clés de répartition'!K26*(1-'Clés de répartition'!$B$299)*'Clés de répartition'!$B$297</f>
        <v>70341733.130899996</v>
      </c>
      <c r="I36" s="53">
        <f>$F36*'Clés de répartition'!L26*'Clés de répartition'!$F$255*'Clés de répartition'!$F$269</f>
        <v>10616258.986723293</v>
      </c>
      <c r="J36" s="53">
        <f>$F36*('Clés de répartition'!P26+IF(AND('Résultat - projection'!$B$210&lt;&gt;1,'Résultat - projection'!$B$209=2),'Clés de répartition'!I26-'Clés de répartition'!M213,0))*'Clés de répartition'!$B$189</f>
        <v>890156.33027137816</v>
      </c>
      <c r="K36" s="53">
        <f>$F36*'Clés de répartition'!N26</f>
        <v>5795168.1614632588</v>
      </c>
      <c r="L36" s="155">
        <f>H36/( 'Clés de répartition'!B69*'Clés de répartition'!$D153)*(1-$B$14)</f>
        <v>983.97450783700901</v>
      </c>
      <c r="M36" s="53">
        <f>I36/( 'Clés de répartition'!C69*'Clés de répartition'!$D153)</f>
        <v>198.49958014216935</v>
      </c>
      <c r="N36" s="53">
        <f>J36/( 'Clés de répartition'!D69*'Clés de répartition'!$D153)</f>
        <v>352.31170578428566</v>
      </c>
      <c r="O36" s="53">
        <f>K36/( 'Clés de répartition'!E69*'Clés de répartition'!$D153)</f>
        <v>319.28154083390001</v>
      </c>
      <c r="P36" s="53">
        <f>IF('Clés de répartition'!B69&gt;0,H36/( 'Clés de répartition'!B69*'Clés de répartition'!$D153),0)*$B$14</f>
        <v>632.46446018372467</v>
      </c>
    </row>
    <row r="37" spans="2:17">
      <c r="B37" s="597" t="s">
        <v>403</v>
      </c>
      <c r="C37" s="350">
        <v>1747741795</v>
      </c>
      <c r="D37" s="61">
        <f t="shared" si="3"/>
        <v>124006575.07981642</v>
      </c>
      <c r="E37" s="20">
        <v>22.038383679999999</v>
      </c>
      <c r="F37" s="50">
        <f t="shared" si="1"/>
        <v>5626845.2750622239</v>
      </c>
      <c r="G37" s="50">
        <f t="shared" si="2"/>
        <v>5.626845275062224</v>
      </c>
      <c r="H37" s="155">
        <f>$F37*'Clés de répartition'!K27*(1-'Clés de répartition'!$B$299)*'Clés de répartition'!$B$297</f>
        <v>2361270.4947566679</v>
      </c>
      <c r="I37" s="53">
        <f>$F37*'Clés de répartition'!L27*'Clés de répartition'!$F$255*'Clés de répartition'!$F$269</f>
        <v>29069.688348362899</v>
      </c>
      <c r="J37" s="53">
        <f>$F37*('Clés de répartition'!P27+IF(AND('Résultat - projection'!$B$210&lt;&gt;1,'Résultat - projection'!$B$209=2),'Clés de répartition'!I27-'Clés de répartition'!M214,0))*'Clés de répartition'!$B$189</f>
        <v>43292.917764975107</v>
      </c>
      <c r="K37" s="53">
        <f>$F37*'Clés de répartition'!N27</f>
        <v>9801.5411175230747</v>
      </c>
      <c r="L37" s="155">
        <f>H37/( 'Clés de répartition'!B70*'Clés de répartition'!$D154)*(1-$B$14)</f>
        <v>162.2228921245399</v>
      </c>
      <c r="M37" s="53">
        <f>I37/( 'Clés de répartition'!C70*'Clés de répartition'!$D154)</f>
        <v>12.299498345849702</v>
      </c>
      <c r="N37" s="53">
        <f>J37/( 'Clés de répartition'!D70*'Clés de répartition'!$D154)</f>
        <v>594.84699519635592</v>
      </c>
      <c r="O37" s="53">
        <f>K37/( 'Clés de répartition'!E70*'Clés de répartition'!$D154)</f>
        <v>15.903168733833551</v>
      </c>
      <c r="P37" s="53">
        <f>IF('Clés de répartition'!B70&gt;0,H37/( 'Clés de répartition'!B70*'Clés de répartition'!$D154),0)*$B$14</f>
        <v>104.27121137774941</v>
      </c>
    </row>
    <row r="38" spans="2:17">
      <c r="B38" s="597" t="s">
        <v>168</v>
      </c>
      <c r="C38" s="350">
        <v>4682552548</v>
      </c>
      <c r="D38" s="61">
        <f t="shared" si="3"/>
        <v>332238609.71336883</v>
      </c>
      <c r="E38" s="20">
        <v>15.12741443</v>
      </c>
      <c r="F38" s="50">
        <f t="shared" si="1"/>
        <v>21962683.130733058</v>
      </c>
      <c r="G38" s="50">
        <f t="shared" si="2"/>
        <v>21.962683130733058</v>
      </c>
      <c r="H38" s="155">
        <f>$F38*'Clés de répartition'!K28*(1-'Clés de répartition'!$B$299)*'Clés de répartition'!$B$297</f>
        <v>16262048.245078443</v>
      </c>
      <c r="I38" s="53">
        <f>$F38*'Clés de répartition'!L28*'Clés de répartition'!$F$255*'Clés de répartition'!$F$269</f>
        <v>1545164.8347171873</v>
      </c>
      <c r="J38" s="53">
        <f>$F38*('Clés de répartition'!P28+IF(AND('Résultat - projection'!$B$210&lt;&gt;1,'Résultat - projection'!$B$209=2),'Clés de répartition'!I28-'Clés de répartition'!M215,0))*'Clés de répartition'!$B$189</f>
        <v>369530.80993021402</v>
      </c>
      <c r="K38" s="53">
        <f>$F38*'Clés de répartition'!N28</f>
        <v>422101.80460207199</v>
      </c>
      <c r="L38" s="155">
        <f>H38/( 'Clés de répartition'!B71*'Clés de répartition'!$D155)*(1-$B$14)</f>
        <v>505.62828856912296</v>
      </c>
      <c r="M38" s="53">
        <f>I38/( 'Clés de répartition'!C71*'Clés de répartition'!$D155)</f>
        <v>156.41979884181833</v>
      </c>
      <c r="N38" s="53">
        <f>J38/( 'Clés de répartition'!D71*'Clés de répartition'!$D155)</f>
        <v>1071.3455335240114</v>
      </c>
      <c r="O38" s="53">
        <f>K38/( 'Clés de répartition'!E71*'Clés de répartition'!$D155)</f>
        <v>227.26811823201876</v>
      </c>
      <c r="P38" s="53">
        <f>IF('Clés de répartition'!B71&gt;0,H38/( 'Clés de répartition'!B71*'Clés de répartition'!$D155),0)*$B$14</f>
        <v>325.0002109165037</v>
      </c>
    </row>
    <row r="39" spans="2:17">
      <c r="B39" s="597" t="s">
        <v>167</v>
      </c>
      <c r="C39" s="350">
        <v>6653228885</v>
      </c>
      <c r="D39" s="61">
        <f t="shared" si="3"/>
        <v>472062938.36496359</v>
      </c>
      <c r="E39" s="20">
        <v>13.2701706</v>
      </c>
      <c r="F39" s="50">
        <f t="shared" si="1"/>
        <v>35573238.098759905</v>
      </c>
      <c r="G39" s="50">
        <f t="shared" si="2"/>
        <v>35.573238098759902</v>
      </c>
      <c r="H39" s="155">
        <f>$F39*'Clés de répartition'!K29*(1-'Clés de répartition'!$B$299)*'Clés de répartition'!$B$297</f>
        <v>39395029.885661893</v>
      </c>
      <c r="I39" s="53">
        <f>$F39*'Clés de répartition'!L29*'Clés de répartition'!$F$255*'Clés de répartition'!$F$269</f>
        <v>2682006.0225619879</v>
      </c>
      <c r="J39" s="53">
        <f>$F39*('Clés de répartition'!P29+IF(AND('Résultat - projection'!$B$210&lt;&gt;1,'Résultat - projection'!$B$209=2),'Clés de répartition'!I29-'Clés de répartition'!M216,0))*'Clés de répartition'!$B$189</f>
        <v>774218.73846919998</v>
      </c>
      <c r="K39" s="53">
        <f>$F39*'Clés de répartition'!N29</f>
        <v>1316125.2013799858</v>
      </c>
      <c r="L39" s="155">
        <f>H39/( 'Clés de répartition'!B72*'Clés de répartition'!$D156)*(1-$B$14)</f>
        <v>750.0433572994823</v>
      </c>
      <c r="M39" s="53">
        <f>I39/( 'Clés de répartition'!C72*'Clés de répartition'!$D156)</f>
        <v>168.31691912994256</v>
      </c>
      <c r="N39" s="53">
        <f>J39/( 'Clés de répartition'!D72*'Clés de répartition'!$D156)</f>
        <v>1010.0627289578833</v>
      </c>
      <c r="O39" s="53">
        <f>K39/( 'Clés de répartition'!E72*'Clés de répartition'!$D156)</f>
        <v>258.4318836104938</v>
      </c>
      <c r="P39" s="53">
        <f>IF('Clés de répartition'!B72&gt;0,H39/( 'Clés de répartition'!B72*'Clés de répartition'!$D156),0)*$B$14</f>
        <v>482.10168384502884</v>
      </c>
    </row>
    <row r="40" spans="2:17">
      <c r="B40" s="597" t="s">
        <v>170</v>
      </c>
      <c r="C40" s="350">
        <v>9579654352</v>
      </c>
      <c r="D40" s="61">
        <f t="shared" si="3"/>
        <v>679700016.3516593</v>
      </c>
      <c r="E40" s="20">
        <v>19.25148252</v>
      </c>
      <c r="F40" s="50">
        <f t="shared" si="1"/>
        <v>35306372.672625698</v>
      </c>
      <c r="G40" s="50">
        <f t="shared" si="2"/>
        <v>35.306372672625699</v>
      </c>
      <c r="H40" s="155">
        <f>$F40*'Clés de répartition'!K30*(1-'Clés de répartition'!$B$299)*'Clés de répartition'!$B$297</f>
        <v>58750919.463528328</v>
      </c>
      <c r="I40" s="53">
        <f>$F40*'Clés de répartition'!L30*'Clés de répartition'!$F$255*'Clés de répartition'!$F$269</f>
        <v>8142077.2281761682</v>
      </c>
      <c r="J40" s="53">
        <f>$F40*('Clés de répartition'!P30+IF(AND('Résultat - projection'!$B$210&lt;&gt;1,'Résultat - projection'!$B$209=2),'Clés de répartition'!I30-'Clés de répartition'!M217,0))*'Clés de répartition'!$B$189</f>
        <v>1659655.9639874157</v>
      </c>
      <c r="K40" s="53">
        <f>$F40*'Clés de répartition'!N30</f>
        <v>2991782.5124856858</v>
      </c>
      <c r="L40" s="155">
        <f>H40/( 'Clés de répartition'!B73*'Clés de répartition'!$D157)*(1-$B$14)</f>
        <v>845.61103545331878</v>
      </c>
      <c r="M40" s="53">
        <f>I40/( 'Clés de répartition'!C73*'Clés de répartition'!$D157)</f>
        <v>176.97468510085125</v>
      </c>
      <c r="N40" s="53">
        <f>J40/( 'Clés de répartition'!D73*'Clés de répartition'!$D157)</f>
        <v>420.88874076268377</v>
      </c>
      <c r="O40" s="53">
        <f>K40/( 'Clés de répartition'!E73*'Clés de répartition'!$D157)</f>
        <v>287.60908466125858</v>
      </c>
      <c r="P40" s="53">
        <f>IF('Clés de répartition'!B73&gt;0,H40/( 'Clés de répartition'!B73*'Clés de répartition'!$D157),0)*$B$14</f>
        <v>543.529250812638</v>
      </c>
    </row>
    <row r="41" spans="2:17">
      <c r="B41" s="597" t="s">
        <v>171</v>
      </c>
      <c r="C41" s="350">
        <v>3534518342</v>
      </c>
      <c r="D41" s="61">
        <f t="shared" si="3"/>
        <v>250782761.73409891</v>
      </c>
      <c r="E41" s="20">
        <v>8.0502068399999995</v>
      </c>
      <c r="F41" s="50">
        <f t="shared" si="1"/>
        <v>31152337.662680347</v>
      </c>
      <c r="G41" s="50">
        <f t="shared" si="2"/>
        <v>31.152337662680345</v>
      </c>
      <c r="H41" s="155">
        <f>$F41*'Clés de répartition'!K31*(1-'Clés de répartition'!$B$299)*'Clés de répartition'!$B$297</f>
        <v>26818942.756692965</v>
      </c>
      <c r="I41" s="53">
        <f>$F41*'Clés de répartition'!L31*'Clés de répartition'!$F$255*'Clés de répartition'!$F$269</f>
        <v>2617555.4025905053</v>
      </c>
      <c r="J41" s="53">
        <f>$F41*('Clés de répartition'!P31+IF(AND('Résultat - projection'!$B$210&lt;&gt;1,'Résultat - projection'!$B$209=2),'Clés de répartition'!I31-'Clés de répartition'!M218,0))*'Clés de répartition'!$B$189</f>
        <v>307647.25357880822</v>
      </c>
      <c r="K41" s="53">
        <f>$F41*'Clés de répartition'!N31</f>
        <v>1660457.1292110293</v>
      </c>
      <c r="L41" s="155">
        <f>H41/( 'Clés de répartition'!B74*'Clés de répartition'!$D158)*(1-$B$14)</f>
        <v>619.28611801999273</v>
      </c>
      <c r="M41" s="53">
        <f>I41/( 'Clés de répartition'!C74*'Clés de répartition'!$D158)</f>
        <v>142.20960329472095</v>
      </c>
      <c r="N41" s="53">
        <f>J41/( 'Clés de répartition'!D74*'Clés de répartition'!$D158)</f>
        <v>752.49788667278619</v>
      </c>
      <c r="O41" s="53">
        <f>K41/( 'Clés de répartition'!E74*'Clés de répartition'!$D158)</f>
        <v>223.90020794579451</v>
      </c>
      <c r="P41" s="53">
        <f>IF('Clés de répartition'!B74&gt;0,H41/( 'Clés de répartition'!B74*'Clés de répartition'!$D158),0)*$B$14</f>
        <v>398.05549555727771</v>
      </c>
    </row>
    <row r="42" spans="2:17">
      <c r="B42" s="597" t="s">
        <v>172</v>
      </c>
      <c r="C42" s="350">
        <v>4095772603</v>
      </c>
      <c r="D42" s="61">
        <f t="shared" si="3"/>
        <v>290605130.72171205</v>
      </c>
      <c r="E42" s="20">
        <v>2.90018792</v>
      </c>
      <c r="F42" s="50">
        <f t="shared" si="1"/>
        <v>100202172.66531889</v>
      </c>
      <c r="G42" s="50">
        <f t="shared" si="2"/>
        <v>100.2021726653189</v>
      </c>
      <c r="H42" s="155">
        <f>$F42*'Clés de répartition'!K32*(1-'Clés de répartition'!$B$299)*'Clés de répartition'!$B$297</f>
        <v>21427448.007190939</v>
      </c>
      <c r="I42" s="53">
        <f>$F42*'Clés de répartition'!L32*'Clés de répartition'!$F$255*'Clés de répartition'!$F$269</f>
        <v>2811575.1328573055</v>
      </c>
      <c r="J42" s="53">
        <f>$F42*('Clés de répartition'!P32+IF(AND('Résultat - projection'!$B$210&lt;&gt;1,'Résultat - projection'!$B$209=2),'Clés de répartition'!I32-'Clés de répartition'!M219,0))*'Clés de répartition'!$B$189</f>
        <v>970659.5939223764</v>
      </c>
      <c r="K42" s="53">
        <f>$F42*'Clés de répartition'!N32</f>
        <v>2726023.435355451</v>
      </c>
      <c r="L42" s="155">
        <f>H42/( 'Clés de répartition'!B75*'Clés de répartition'!$D159)*(1-$B$14)</f>
        <v>2831.2885567620565</v>
      </c>
      <c r="M42" s="53">
        <f>I42/( 'Clés de répartition'!C75*'Clés de répartition'!$D159)</f>
        <v>524.9587817827753</v>
      </c>
      <c r="N42" s="53">
        <f>J42/( 'Clés de répartition'!D75*'Clés de répartition'!$D159)</f>
        <v>812.17301165899437</v>
      </c>
      <c r="O42" s="53">
        <f>K42/( 'Clés de répartition'!E75*'Clés de répartition'!$D159)</f>
        <v>861.35386710611408</v>
      </c>
      <c r="P42" s="53">
        <f>IF('Clés de répartition'!B75&gt;0,H42/( 'Clés de répartition'!B75*'Clés de répartition'!$D159),0)*$B$14</f>
        <v>1819.8534356476343</v>
      </c>
    </row>
    <row r="43" spans="2:17">
      <c r="B43" s="597" t="s">
        <v>173</v>
      </c>
      <c r="C43" s="350">
        <v>6420926963</v>
      </c>
      <c r="D43" s="61">
        <f t="shared" si="3"/>
        <v>455580546.16372973</v>
      </c>
      <c r="E43" s="20">
        <v>22.794545239999998</v>
      </c>
      <c r="F43" s="50">
        <f t="shared" si="1"/>
        <v>19986384.521691374</v>
      </c>
      <c r="G43" s="50">
        <f t="shared" si="2"/>
        <v>19.986384521691374</v>
      </c>
      <c r="H43" s="155">
        <f>$F43*'Clés de répartition'!K33*(1-'Clés de répartition'!$B$299)*'Clés de répartition'!$B$297</f>
        <v>21874952.563128512</v>
      </c>
      <c r="I43" s="53">
        <f>$F43*'Clés de répartition'!L33*'Clés de répartition'!$F$255*'Clés de répartition'!$F$269</f>
        <v>666869.04449404345</v>
      </c>
      <c r="J43" s="53">
        <f>$F43*('Clés de répartition'!P33+IF(AND('Résultat - projection'!$B$210&lt;&gt;1,'Résultat - projection'!$B$209=2),'Clés de répartition'!I33-'Clés de répartition'!M220,0))*'Clés de répartition'!$B$189</f>
        <v>215499.35483086048</v>
      </c>
      <c r="K43" s="53">
        <f>$F43*'Clés de répartition'!N33</f>
        <v>118489.40478136824</v>
      </c>
      <c r="L43" s="155">
        <f>H43/( 'Clés de répartition'!B76*'Clés de répartition'!$D160)*(1-$B$14)</f>
        <v>431.54307323800299</v>
      </c>
      <c r="M43" s="53">
        <f>I43/( 'Clés de répartition'!C76*'Clés de répartition'!$D160)</f>
        <v>58.837525647210306</v>
      </c>
      <c r="N43" s="53">
        <f>J43/( 'Clés de répartition'!D76*'Clés de répartition'!$D160)</f>
        <v>1650.4327866387382</v>
      </c>
      <c r="O43" s="53">
        <f>K43/( 'Clés de répartition'!E76*'Clés de répartition'!$D160)</f>
        <v>70.692493897570074</v>
      </c>
      <c r="P43" s="53">
        <f>IF('Clés de répartition'!B76&gt;0,H43/( 'Clés de répartition'!B76*'Clés de répartition'!$D160),0)*$B$14</f>
        <v>277.38082103516206</v>
      </c>
    </row>
    <row r="44" spans="2:17">
      <c r="B44" s="597" t="s">
        <v>350</v>
      </c>
      <c r="C44" s="350">
        <v>10077544219</v>
      </c>
      <c r="D44" s="61">
        <f t="shared" si="3"/>
        <v>715026525.87969589</v>
      </c>
      <c r="E44" s="20">
        <v>5.5811308400000001</v>
      </c>
      <c r="F44" s="50">
        <f t="shared" si="1"/>
        <v>128114990.73899078</v>
      </c>
      <c r="G44" s="50">
        <f t="shared" si="2"/>
        <v>128.11499073899077</v>
      </c>
      <c r="H44" s="155">
        <f>$F44*'Clés de répartition'!K34*(1-'Clés de répartition'!$B$299)*'Clés de répartition'!$B$297</f>
        <v>96388454.374300078</v>
      </c>
      <c r="I44" s="53">
        <f>$F44*'Clés de répartition'!L34*'Clés de répartition'!$F$255*'Clés de répartition'!$F$269</f>
        <v>18322197.331587426</v>
      </c>
      <c r="J44" s="53">
        <f>$F44*('Clés de répartition'!P34+IF(AND('Résultat - projection'!$B$210&lt;&gt;1,'Résultat - projection'!$B$209=2),'Clés de répartition'!I34-'Clés de répartition'!M221,0))*'Clés de répartition'!$B$189</f>
        <v>7483558.7118575675</v>
      </c>
      <c r="K44" s="53">
        <f>$F44*'Clés de répartition'!N34</f>
        <v>17292678.197998777</v>
      </c>
      <c r="L44" s="155">
        <f>H44/( 'Clés de répartition'!B77*'Clés de répartition'!$D161)*(1-$B$14)</f>
        <v>2922.068062807607</v>
      </c>
      <c r="M44" s="53">
        <f>I44/( 'Clés de répartition'!C77*'Clés de répartition'!$D161)</f>
        <v>527.98410245167781</v>
      </c>
      <c r="N44" s="53">
        <f>J44/( 'Clés de répartition'!D77*'Clés de répartition'!$D161)</f>
        <v>773.4915536680345</v>
      </c>
      <c r="O44" s="53">
        <f>K44/( 'Clés de répartition'!E77*'Clés de répartition'!$D161)</f>
        <v>866.8978107075078</v>
      </c>
      <c r="P44" s="53">
        <f>IF('Clés de répartition'!B77&gt;0,H44/( 'Clés de répartition'!B77*'Clés de répartition'!$D161),0)*$B$14</f>
        <v>1878.2033327532561</v>
      </c>
    </row>
    <row r="45" spans="2:17">
      <c r="B45" s="597" t="s">
        <v>174</v>
      </c>
      <c r="C45" s="350">
        <v>7854434893</v>
      </c>
      <c r="D45" s="61">
        <f t="shared" si="3"/>
        <v>557291456.35516167</v>
      </c>
      <c r="E45" s="20">
        <v>34.158981439999998</v>
      </c>
      <c r="F45" s="50">
        <f t="shared" si="1"/>
        <v>16314639.162588617</v>
      </c>
      <c r="G45" s="50">
        <f t="shared" si="2"/>
        <v>16.314639162588616</v>
      </c>
      <c r="H45" s="155">
        <f>$F45*'Clés de répartition'!K35*(1-'Clés de répartition'!$B$299)*'Clés de répartition'!$B$297</f>
        <v>34932152.583876029</v>
      </c>
      <c r="I45" s="53">
        <f>$F45*'Clés de répartition'!L35*'Clés de répartition'!$F$255*'Clés de répartition'!$F$269</f>
        <v>2477757.2110488066</v>
      </c>
      <c r="J45" s="53">
        <f>$F45*('Clés de répartition'!P35+IF(AND('Résultat - projection'!$B$210&lt;&gt;1,'Résultat - projection'!$B$209=2),'Clés de répartition'!I35-'Clés de répartition'!M222,0))*'Clés de répartition'!$B$189</f>
        <v>506175.23549862881</v>
      </c>
      <c r="K45" s="53">
        <f>$F45*'Clés de répartition'!N35</f>
        <v>502397.74619652197</v>
      </c>
      <c r="L45" s="155">
        <f>H45/( 'Clés de répartition'!B78*'Clés de répartition'!$D162)*(1-$B$14)</f>
        <v>481.62812636459734</v>
      </c>
      <c r="M45" s="53">
        <f>I45/( 'Clés de répartition'!C78*'Clés de répartition'!$D162)</f>
        <v>111.38411752417355</v>
      </c>
      <c r="N45" s="53">
        <f>J45/( 'Clés de répartition'!D78*'Clés de répartition'!$D162)</f>
        <v>2760.9495431705336</v>
      </c>
      <c r="O45" s="53">
        <f>K45/( 'Clés de répartition'!E78*'Clés de répartition'!$D162)</f>
        <v>171.45654905368767</v>
      </c>
      <c r="P45" s="53">
        <f>IF('Clés de répartition'!B78&gt;0,H45/( 'Clés de répartition'!B78*'Clés de répartition'!$D162),0)*$B$14</f>
        <v>309.57374456792485</v>
      </c>
    </row>
    <row r="46" spans="2:17">
      <c r="B46" s="597" t="s">
        <v>175</v>
      </c>
      <c r="C46" s="350">
        <v>12216268049</v>
      </c>
      <c r="D46" s="61">
        <f t="shared" si="3"/>
        <v>866774237.10261571</v>
      </c>
      <c r="E46" s="20">
        <v>11.425767619999998</v>
      </c>
      <c r="F46" s="50">
        <f t="shared" si="1"/>
        <v>75861357.059755772</v>
      </c>
      <c r="G46" s="50">
        <f t="shared" si="2"/>
        <v>75.861357059755775</v>
      </c>
      <c r="H46" s="155">
        <f>$F46*'Clés de répartition'!K36*(1-'Clés de répartition'!$B$299)*'Clés de répartition'!$B$297</f>
        <v>95039107.117467731</v>
      </c>
      <c r="I46" s="53">
        <f>$F46*'Clés de répartition'!L36*'Clés de répartition'!$F$255*'Clés de répartition'!$F$269</f>
        <v>16471647.993374497</v>
      </c>
      <c r="J46" s="53">
        <f>$F46*('Clés de répartition'!P36+IF(AND('Résultat - projection'!$B$210&lt;&gt;1,'Résultat - projection'!$B$209=2),'Clés de répartition'!I36-'Clés de répartition'!M223,0))*'Clés de répartition'!$B$189</f>
        <v>4768531.6593677374</v>
      </c>
      <c r="K46" s="53">
        <f>$F46*'Clés de répartition'!N36</f>
        <v>8573786.9161389135</v>
      </c>
      <c r="L46" s="155">
        <f>H46/( 'Clés de répartition'!B79*'Clés de répartition'!$D163)*(1-$B$14)</f>
        <v>1593.2209200725415</v>
      </c>
      <c r="M46" s="53">
        <f>I46/( 'Clés de répartition'!C79*'Clés de répartition'!$D163)</f>
        <v>391.16062875646617</v>
      </c>
      <c r="N46" s="53">
        <f>J46/( 'Clés de répartition'!D79*'Clés de répartition'!$D163)</f>
        <v>673.56279847578821</v>
      </c>
      <c r="O46" s="53">
        <f>K46/( 'Clés de répartition'!E79*'Clés de répartition'!$D163)</f>
        <v>646.4361321445582</v>
      </c>
      <c r="P46" s="53">
        <f>IF('Clés de répartition'!B79&gt;0,H46/( 'Clés de répartition'!B79*'Clés de répartition'!$D163),0)*$B$14</f>
        <v>1024.0667833785087</v>
      </c>
    </row>
    <row r="47" spans="2:17">
      <c r="B47" s="597" t="s">
        <v>176</v>
      </c>
      <c r="C47" s="350">
        <v>11315846472</v>
      </c>
      <c r="D47" s="61">
        <f t="shared" si="3"/>
        <v>802887113.60921812</v>
      </c>
      <c r="E47" s="20">
        <v>36.115541229999998</v>
      </c>
      <c r="F47" s="50">
        <f t="shared" si="1"/>
        <v>22231069.679838721</v>
      </c>
      <c r="G47" s="50">
        <f t="shared" si="2"/>
        <v>22.231069679838722</v>
      </c>
      <c r="H47" s="155">
        <f>$F47*'Clés de répartition'!K37*(1-'Clés de répartition'!$B$299)*'Clés de répartition'!$B$297</f>
        <v>39524825.303116545</v>
      </c>
      <c r="I47" s="53">
        <f>$F47*'Clés de répartition'!L37*'Clés de répartition'!$F$255*'Clés de répartition'!$F$269</f>
        <v>3536277.3603735804</v>
      </c>
      <c r="J47" s="53">
        <f>$F47*('Clés de répartition'!P37+IF(AND('Résultat - projection'!$B$210&lt;&gt;1,'Résultat - projection'!$B$209=2),'Clés de répartition'!I37-'Clés de répartition'!M224,0))*'Clés de répartition'!$B$189</f>
        <v>368792.001389677</v>
      </c>
      <c r="K47" s="53">
        <f>$F47*'Clés de répartition'!N37</f>
        <v>1033131.7271113483</v>
      </c>
      <c r="L47" s="155">
        <f>H47/( 'Clés de répartition'!B80*'Clés de répartition'!$D164)*(1-$B$14)</f>
        <v>693.11499639381896</v>
      </c>
      <c r="M47" s="53">
        <f>I47/( 'Clés de répartition'!C80*'Clés de répartition'!$D164)</f>
        <v>148.69133176583057</v>
      </c>
      <c r="N47" s="53">
        <f>J47/( 'Clés de répartition'!D80*'Clés de répartition'!$D164)</f>
        <v>435.17448689284595</v>
      </c>
      <c r="O47" s="53">
        <f>K47/( 'Clés de répartition'!E80*'Clés de répartition'!$D164)</f>
        <v>216.17389531626964</v>
      </c>
      <c r="P47" s="53">
        <f>IF('Clés de répartition'!B80&gt;0,H47/( 'Clés de répartition'!B80*'Clés de répartition'!$D164),0)*$B$14</f>
        <v>445.5101209919506</v>
      </c>
    </row>
    <row r="48" spans="2:17">
      <c r="B48" s="597" t="s">
        <v>177</v>
      </c>
      <c r="C48" s="350">
        <v>5191203012</v>
      </c>
      <c r="D48" s="61">
        <f t="shared" si="3"/>
        <v>368328610.04056221</v>
      </c>
      <c r="E48" s="20">
        <v>10.19207969</v>
      </c>
      <c r="F48" s="50">
        <f t="shared" si="1"/>
        <v>36138709.786771908</v>
      </c>
      <c r="G48" s="50">
        <f t="shared" si="2"/>
        <v>36.138709786771905</v>
      </c>
      <c r="H48" s="155">
        <f>$F48*'Clés de répartition'!K38*(1-'Clés de répartition'!$B$299)*'Clés de répartition'!$B$297</f>
        <v>36594917.856869765</v>
      </c>
      <c r="I48" s="53">
        <f>$F48*'Clés de répartition'!L38*'Clés de répartition'!$F$255*'Clés de répartition'!$F$269</f>
        <v>3015234.306723841</v>
      </c>
      <c r="J48" s="53">
        <f>$F48*('Clés de répartition'!P38+IF(AND('Résultat - projection'!$B$210&lt;&gt;1,'Résultat - projection'!$B$209=2),'Clés de répartition'!I38-'Clés de répartition'!M225,0))*'Clés de répartition'!$B$189</f>
        <v>222135.45116917262</v>
      </c>
      <c r="K48" s="53">
        <f>$F48*'Clés de répartition'!N38</f>
        <v>960653.37980634964</v>
      </c>
      <c r="L48" s="155">
        <f>H48/( 'Clés de répartition'!B81*'Clés de répartition'!$D165)*(1-$B$14)</f>
        <v>813.3965697415241</v>
      </c>
      <c r="M48" s="53">
        <f>I48/( 'Clés de répartition'!C81*'Clés de répartition'!$D165)</f>
        <v>192.93722978441247</v>
      </c>
      <c r="N48" s="53">
        <f>J48/( 'Clés de répartition'!D81*'Clés de répartition'!$D165)</f>
        <v>1713.6728782145433</v>
      </c>
      <c r="O48" s="53">
        <f>K48/( 'Clés de répartition'!E81*'Clés de répartition'!$D165)</f>
        <v>312.89878807944785</v>
      </c>
      <c r="P48" s="53">
        <f>IF('Clés de répartition'!B81&gt;0,H48/( 'Clés de répartition'!B81*'Clés de répartition'!$D165),0)*$B$14</f>
        <v>522.82291695516335</v>
      </c>
    </row>
    <row r="49" spans="1:16">
      <c r="B49" s="597" t="s">
        <v>351</v>
      </c>
      <c r="C49" s="350">
        <v>7128693146</v>
      </c>
      <c r="D49" s="61">
        <f t="shared" si="3"/>
        <v>505798296.04087591</v>
      </c>
      <c r="E49" s="20">
        <v>13.436738349999999</v>
      </c>
      <c r="F49" s="50">
        <f t="shared" si="1"/>
        <v>37642937.062987164</v>
      </c>
      <c r="G49" s="50">
        <f t="shared" si="2"/>
        <v>37.642937062987166</v>
      </c>
      <c r="H49" s="155">
        <f>$F49*'Clés de répartition'!K39*(1-'Clés de répartition'!$B$299)*'Clés de répartition'!$B$297</f>
        <v>35850353.501663119</v>
      </c>
      <c r="I49" s="53">
        <f>$F49*'Clés de répartition'!L39*'Clés de répartition'!$F$255*'Clés de répartition'!$F$269</f>
        <v>6239918.6053117402</v>
      </c>
      <c r="J49" s="53">
        <f>$F49*('Clés de répartition'!P39+IF(AND('Résultat - projection'!$B$210&lt;&gt;1,'Résultat - projection'!$B$209=2),'Clés de répartition'!I39-'Clés de répartition'!M226,0))*'Clés de répartition'!$B$189</f>
        <v>1399746.4423664231</v>
      </c>
      <c r="K49" s="53">
        <f>$F49*'Clés de répartition'!N39</f>
        <v>4570350.5056311302</v>
      </c>
      <c r="L49" s="155">
        <f>H49/( 'Clés de répartition'!B82*'Clés de répartition'!$D166)*(1-$B$14)</f>
        <v>1029.8600652834523</v>
      </c>
      <c r="M49" s="53">
        <f>I49/( 'Clés de répartition'!C82*'Clés de répartition'!$D166)</f>
        <v>229.15141189237923</v>
      </c>
      <c r="N49" s="53">
        <f>J49/( 'Clés de répartition'!D82*'Clés de répartition'!$D166)</f>
        <v>632.42110615735032</v>
      </c>
      <c r="O49" s="53">
        <f>K49/( 'Clés de répartition'!E82*'Clés de répartition'!$D166)</f>
        <v>366.23240688667101</v>
      </c>
      <c r="P49" s="53">
        <f>IF('Clés de répartition'!B82&gt;0,H49/( 'Clés de répartition'!B82*'Clés de répartition'!$D166),0)*$B$14</f>
        <v>661.95809451007369</v>
      </c>
    </row>
    <row r="50" spans="1:16">
      <c r="B50" s="597" t="s">
        <v>856</v>
      </c>
      <c r="C50" s="350">
        <v>6736396747</v>
      </c>
      <c r="D50" s="61">
        <f t="shared" si="3"/>
        <v>477963902.5421868</v>
      </c>
      <c r="E50" s="20">
        <v>7.7560721100000007</v>
      </c>
      <c r="F50" s="50">
        <f t="shared" si="1"/>
        <v>61624478.958355993</v>
      </c>
      <c r="G50" s="50">
        <f t="shared" si="2"/>
        <v>61.624478958355994</v>
      </c>
      <c r="H50" s="155">
        <f>$F50*'Clés de répartition'!K40*(1-'Clés de répartition'!$B$299)*'Clés de répartition'!$B$297</f>
        <v>34250318.248512216</v>
      </c>
      <c r="I50" s="53">
        <f>$F50*'Clés de répartition'!L40*'Clés de répartition'!$F$255*'Clés de répartition'!$F$269</f>
        <v>4970057.454374983</v>
      </c>
      <c r="J50" s="53">
        <f>$F50*('Clés de répartition'!P40+IF(AND('Résultat - projection'!$B$210&lt;&gt;1,'Résultat - projection'!$B$209=2),'Clés de répartition'!I40-'Clés de répartition'!M227,0))*'Clés de répartition'!$B$189</f>
        <v>2367409.71452823</v>
      </c>
      <c r="K50" s="53">
        <f>$F50*'Clés de répartition'!N40</f>
        <v>1976570.9552230986</v>
      </c>
      <c r="L50" s="155">
        <f>H50/( 'Clés de répartition'!B83*'Clés de répartition'!$D167)*(1-$B$14)</f>
        <v>1068.1277026614707</v>
      </c>
      <c r="M50" s="53">
        <f>I50/( 'Clés de répartition'!C83*'Clés de répartition'!$D167)</f>
        <v>224.84692834142422</v>
      </c>
      <c r="N50" s="53">
        <f>J50/( 'Clés de répartition'!D83*'Clés de répartition'!$D167)</f>
        <v>1500.7449985653789</v>
      </c>
      <c r="O50" s="53">
        <f>K50/( 'Clés de répartition'!E83*'Clés de répartition'!$D167)</f>
        <v>362.68484886904571</v>
      </c>
      <c r="P50" s="53">
        <f>IF('Clés de répartition'!B83&gt;0,H50/( 'Clés de répartition'!B83*'Clés de répartition'!$D167),0)*$B$14</f>
        <v>686.5551957805103</v>
      </c>
    </row>
    <row r="51" spans="1:16">
      <c r="B51" s="597" t="s">
        <v>178</v>
      </c>
      <c r="C51" s="350">
        <v>21235467056</v>
      </c>
      <c r="D51" s="61">
        <f t="shared" si="3"/>
        <v>1506708569.5200374</v>
      </c>
      <c r="E51" s="20">
        <v>12.708849630000001</v>
      </c>
      <c r="F51" s="50">
        <f t="shared" si="1"/>
        <v>118555857.79875478</v>
      </c>
      <c r="G51" s="50">
        <f t="shared" si="2"/>
        <v>118.55585779875479</v>
      </c>
      <c r="H51" s="155">
        <f>$F51*'Clés de répartition'!K41*(1-'Clés de répartition'!$B$299)*'Clés de répartition'!$B$297</f>
        <v>130243542.13981058</v>
      </c>
      <c r="I51" s="53">
        <f>$F51*'Clés de répartition'!L41*'Clés de répartition'!$F$255*'Clés de répartition'!$F$269</f>
        <v>19266583.514667854</v>
      </c>
      <c r="J51" s="53">
        <f>$F51*('Clés de répartition'!P41+IF(AND('Résultat - projection'!$B$210&lt;&gt;1,'Résultat - projection'!$B$209=2),'Clés de répartition'!I41-'Clés de répartition'!M228,0))*'Clés de répartition'!$B$189</f>
        <v>5571584.482130589</v>
      </c>
      <c r="K51" s="53">
        <f>$F51*'Clés de répartition'!N41</f>
        <v>18185516.991696589</v>
      </c>
      <c r="L51" s="155">
        <f>H51/( 'Clés de répartition'!B84*'Clés de répartition'!$D168)*(1-$B$14)</f>
        <v>3052.3935264734969</v>
      </c>
      <c r="M51" s="53">
        <f>I51/( 'Clés de répartition'!C84*'Clés de répartition'!$D168)</f>
        <v>529.14485822872598</v>
      </c>
      <c r="N51" s="53">
        <f>J51/( 'Clés de répartition'!D84*'Clés de répartition'!$D168)</f>
        <v>1090.4458816699521</v>
      </c>
      <c r="O51" s="53">
        <f>K51/( 'Clés de répartition'!E84*'Clés de répartition'!$D168)</f>
        <v>820.31390454517873</v>
      </c>
      <c r="P51" s="53">
        <f>IF('Clés de répartition'!B84&gt;0,H51/( 'Clés de répartition'!B84*'Clés de répartition'!$D168),0)*$B$14</f>
        <v>1961.971990751146</v>
      </c>
    </row>
    <row r="52" spans="1:16">
      <c r="B52" s="597" t="s">
        <v>179</v>
      </c>
      <c r="C52" s="350">
        <v>8141918360</v>
      </c>
      <c r="D52" s="61">
        <f t="shared" si="3"/>
        <v>577689114.77171373</v>
      </c>
      <c r="E52" s="20">
        <v>12.19336764</v>
      </c>
      <c r="F52" s="50">
        <f t="shared" si="1"/>
        <v>47377322.80593434</v>
      </c>
      <c r="G52" s="50">
        <f t="shared" si="2"/>
        <v>47.377322805934341</v>
      </c>
      <c r="H52" s="155">
        <f>$F52*'Clés de répartition'!K42*(1-'Clés de répartition'!$B$299)*'Clés de répartition'!$B$297</f>
        <v>54722697.102621876</v>
      </c>
      <c r="I52" s="53">
        <f>$F52*'Clés de répartition'!L42*'Clés de répartition'!$F$255*'Clés de répartition'!$F$269</f>
        <v>9599501.8555133995</v>
      </c>
      <c r="J52" s="53">
        <f>$F52*('Clés de répartition'!P42+IF(AND('Résultat - projection'!$B$210&lt;&gt;1,'Résultat - projection'!$B$209=2),'Clés de répartition'!I42-'Clés de répartition'!M229,0))*'Clés de répartition'!$B$189</f>
        <v>1712874.8676514954</v>
      </c>
      <c r="K52" s="53">
        <f>$F52*'Clés de répartition'!N42</f>
        <v>3839328.7559493762</v>
      </c>
      <c r="L52" s="155">
        <f>H52/( 'Clés de répartition'!B85*'Clés de répartition'!$D169)*(1-$B$14)</f>
        <v>952.29740717577204</v>
      </c>
      <c r="M52" s="53">
        <f>I52/( 'Clés de répartition'!C85*'Clés de répartition'!$D169)</f>
        <v>196.51414624662289</v>
      </c>
      <c r="N52" s="53">
        <f>J52/( 'Clés de répartition'!D85*'Clés de répartition'!$D169)</f>
        <v>329.48819979758582</v>
      </c>
      <c r="O52" s="53">
        <f>K52/( 'Clés de répartition'!E85*'Clés de répartition'!$D169)</f>
        <v>322.65853886546421</v>
      </c>
      <c r="P52" s="53">
        <f>IF('Clés de répartition'!B85&gt;0,H52/( 'Clés de répartition'!B85*'Clés de répartition'!$D169),0)*$B$14</f>
        <v>612.10352581974882</v>
      </c>
    </row>
    <row r="54" spans="1:16">
      <c r="K54" s="132"/>
      <c r="L54" s="132"/>
      <c r="M54" s="132"/>
      <c r="N54" s="132"/>
    </row>
    <row r="55" spans="1:16">
      <c r="B55" s="721" t="s">
        <v>116</v>
      </c>
      <c r="C55" s="721"/>
      <c r="D55" s="352"/>
      <c r="E55" s="53"/>
      <c r="F55" s="53"/>
      <c r="G55" s="53"/>
    </row>
    <row r="56" spans="1:16">
      <c r="B56" s="62" t="s">
        <v>68</v>
      </c>
    </row>
    <row r="57" spans="1:16">
      <c r="B57" s="23" t="s">
        <v>408</v>
      </c>
    </row>
    <row r="58" spans="1:16">
      <c r="B58" s="23"/>
      <c r="C58" s="53"/>
      <c r="D58" s="53"/>
      <c r="E58" s="53"/>
      <c r="F58" s="53"/>
      <c r="G58" s="53"/>
      <c r="H58" s="54"/>
    </row>
    <row r="59" spans="1:16">
      <c r="C59" s="179"/>
      <c r="D59" s="179"/>
      <c r="E59" s="21"/>
      <c r="F59" s="21"/>
      <c r="G59" s="398" t="s">
        <v>309</v>
      </c>
      <c r="J59" s="54"/>
    </row>
    <row r="60" spans="1:16" ht="18" thickBot="1">
      <c r="A60" s="63"/>
      <c r="B60" s="586" t="s">
        <v>941</v>
      </c>
      <c r="C60" s="587" t="s">
        <v>1063</v>
      </c>
      <c r="D60" s="587" t="s">
        <v>645</v>
      </c>
      <c r="E60" s="587" t="s">
        <v>723</v>
      </c>
      <c r="F60" s="587" t="s">
        <v>1064</v>
      </c>
      <c r="G60" s="587" t="s">
        <v>723</v>
      </c>
      <c r="H60" s="587" t="s">
        <v>1062</v>
      </c>
      <c r="I60" s="335" t="s">
        <v>10</v>
      </c>
      <c r="J60" s="63"/>
    </row>
    <row r="61" spans="1:16" ht="17">
      <c r="B61" s="229" t="s">
        <v>202</v>
      </c>
      <c r="C61" s="579">
        <v>2156747.87</v>
      </c>
      <c r="D61" s="350">
        <f>SUM(D62:D76)</f>
        <v>1260313003</v>
      </c>
      <c r="E61" s="350">
        <f>SUM(E62:E76)</f>
        <v>89422304.529021338</v>
      </c>
      <c r="F61" s="584">
        <f>SUM(F62:F76)</f>
        <v>6742441</v>
      </c>
      <c r="G61" s="350">
        <f>SUM(G62:G76)</f>
        <v>220691469.23838761</v>
      </c>
      <c r="H61" s="350">
        <f>SUM(H62:H76)</f>
        <v>144907294.73503029</v>
      </c>
      <c r="I61" s="350">
        <f>H61/('Clés de répartition'!B50*'Clés de répartition'!$D134)</f>
        <v>235.20228012385198</v>
      </c>
      <c r="J61" s="578"/>
    </row>
    <row r="62" spans="1:16" ht="17">
      <c r="A62">
        <v>66112</v>
      </c>
      <c r="B62" s="229" t="s">
        <v>71</v>
      </c>
      <c r="C62" s="579">
        <v>0</v>
      </c>
      <c r="D62" s="350">
        <v>0</v>
      </c>
      <c r="E62" s="350">
        <f>D62*(1-'Clés de répartition'!$B$300)*$B$12*(1+$B$12)^$B$13/((1+$B$12)^$B$13-1)</f>
        <v>0</v>
      </c>
      <c r="F62" s="579"/>
      <c r="G62" s="132">
        <f t="shared" ref="G62:G96" si="5">F62*G18</f>
        <v>0</v>
      </c>
      <c r="H62" s="350">
        <f>MAX(E62,G62)*'Clés de répartition'!$B$297</f>
        <v>0</v>
      </c>
      <c r="I62" s="350">
        <f>H62/('Clés de répartition'!B51*'Clés de répartition'!$D135)</f>
        <v>0</v>
      </c>
      <c r="J62" s="578"/>
    </row>
    <row r="63" spans="1:16" ht="17">
      <c r="A63">
        <v>66107</v>
      </c>
      <c r="B63" s="229" t="s">
        <v>72</v>
      </c>
      <c r="C63" s="579">
        <v>403.2</v>
      </c>
      <c r="D63" s="350">
        <v>104800</v>
      </c>
      <c r="E63" s="350">
        <f>D63*(1-'Clés de répartition'!$B$300)*$B$12*(1+$B$12)^$B$13/((1+$B$12)^$B$13-1)</f>
        <v>7435.8175249592641</v>
      </c>
      <c r="F63" s="579"/>
      <c r="G63" s="132">
        <f t="shared" si="5"/>
        <v>0</v>
      </c>
      <c r="H63" s="350">
        <f>MAX(E63,G63)*'Clés de répartition'!$B$297</f>
        <v>4666.3835798422251</v>
      </c>
      <c r="I63" s="350">
        <f>H63/('Clés de répartition'!B52*'Clés de répartition'!$D136)</f>
        <v>0.6615106733307845</v>
      </c>
      <c r="J63" s="578"/>
    </row>
    <row r="64" spans="1:16" ht="17">
      <c r="A64">
        <v>66058</v>
      </c>
      <c r="B64" s="229" t="s">
        <v>73</v>
      </c>
      <c r="C64" s="579">
        <v>0</v>
      </c>
      <c r="D64" s="350">
        <v>0</v>
      </c>
      <c r="E64" s="350">
        <f>D64*(1-'Clés de répartition'!$B$300)*$B$12*(1+$B$12)^$B$13/((1+$B$12)^$B$13-1)</f>
        <v>0</v>
      </c>
      <c r="F64" s="579"/>
      <c r="G64" s="132">
        <f t="shared" si="5"/>
        <v>0</v>
      </c>
      <c r="H64" s="350">
        <f>MAX(E64,G64)*'Clés de répartition'!$B$297</f>
        <v>0</v>
      </c>
      <c r="I64" s="350">
        <f>H64/('Clés de répartition'!B53*'Clés de répartition'!$D137)</f>
        <v>0</v>
      </c>
      <c r="J64" s="578"/>
    </row>
    <row r="65" spans="1:10" ht="17">
      <c r="A65">
        <v>66142</v>
      </c>
      <c r="B65" s="229" t="s">
        <v>74</v>
      </c>
      <c r="C65" s="579">
        <v>19874.2</v>
      </c>
      <c r="D65" s="350">
        <v>5750300</v>
      </c>
      <c r="E65" s="350">
        <f>D65*(1-'Clés de répartition'!$B$300)*$B$12*(1+$B$12)^$B$13/((1+$B$12)^$B$13-1)</f>
        <v>407997.91520776006</v>
      </c>
      <c r="F65" s="579"/>
      <c r="G65" s="132">
        <f t="shared" si="5"/>
        <v>0</v>
      </c>
      <c r="H65" s="350">
        <f>MAX(E65,G65)*'Clés de répartition'!$B$297</f>
        <v>256041.08300731625</v>
      </c>
      <c r="I65" s="350">
        <f>H65/('Clés de répartition'!B54*'Clés de répartition'!$D138)</f>
        <v>12.010999213295575</v>
      </c>
      <c r="J65" s="578"/>
    </row>
    <row r="66" spans="1:10" ht="17">
      <c r="A66">
        <v>66087</v>
      </c>
      <c r="B66" s="229" t="s">
        <v>75</v>
      </c>
      <c r="C66" s="579">
        <v>302545.53000000003</v>
      </c>
      <c r="D66" s="350">
        <v>63910500</v>
      </c>
      <c r="E66" s="350">
        <f>D66*(1-'Clés de répartition'!$B$300)*$B$12*(1+$B$12)^$B$13/((1+$B$12)^$B$13-1)</f>
        <v>4534607.0222224146</v>
      </c>
      <c r="F66" s="579"/>
      <c r="G66" s="132">
        <f t="shared" si="5"/>
        <v>0</v>
      </c>
      <c r="H66" s="350">
        <f>MAX(E66,G66)*'Clés de répartition'!$B$297</f>
        <v>2845714.7688884209</v>
      </c>
      <c r="I66" s="350">
        <f>H66/('Clés de répartition'!B55*'Clés de répartition'!$D139)</f>
        <v>328.23373220527782</v>
      </c>
      <c r="J66" s="578"/>
    </row>
    <row r="67" spans="1:10" ht="17">
      <c r="A67">
        <v>66062</v>
      </c>
      <c r="B67" s="229" t="s">
        <v>76</v>
      </c>
      <c r="C67" s="579">
        <v>0</v>
      </c>
      <c r="D67" s="350">
        <v>0</v>
      </c>
      <c r="E67" s="350">
        <f>D67*(1-'Clés de répartition'!$B$300)*$B$12*(1+$B$12)^$B$13/((1+$B$12)^$B$13-1)</f>
        <v>0</v>
      </c>
      <c r="F67" s="579"/>
      <c r="G67" s="132">
        <f t="shared" si="5"/>
        <v>0</v>
      </c>
      <c r="H67" s="350">
        <f>MAX(E67,G67)*'Clés de répartition'!$B$297</f>
        <v>0</v>
      </c>
      <c r="I67" s="350">
        <f>H67/('Clés de répartition'!B56*'Clés de répartition'!$D140)</f>
        <v>0</v>
      </c>
      <c r="J67" s="578"/>
    </row>
    <row r="68" spans="1:10">
      <c r="A68">
        <v>66102</v>
      </c>
      <c r="B68" s="78" t="s">
        <v>77</v>
      </c>
      <c r="C68" s="579">
        <v>23163.670000000002</v>
      </c>
      <c r="D68" s="350">
        <v>6961900</v>
      </c>
      <c r="E68" s="350">
        <f>D68*(1-'Clés de répartition'!$B$300)*$B$12*(1+$B$12)^$B$13/((1+$B$12)^$B$13-1)</f>
        <v>493963.91247150674</v>
      </c>
      <c r="F68" s="579"/>
      <c r="G68" s="132">
        <f t="shared" si="5"/>
        <v>0</v>
      </c>
      <c r="H68" s="350">
        <f>MAX(E68,G68)*'Clés de répartition'!$B$297</f>
        <v>309989.46416511061</v>
      </c>
      <c r="I68" s="350">
        <f>H68/('Clés de répartition'!B57*'Clés de répartition'!$D141)</f>
        <v>35.747753923422316</v>
      </c>
      <c r="J68" s="578"/>
    </row>
    <row r="69" spans="1:10">
      <c r="A69">
        <v>66023</v>
      </c>
      <c r="B69" s="78" t="s">
        <v>79</v>
      </c>
      <c r="C69" s="579">
        <f t="shared" ref="C69:E69" si="6">SUM(C78:C96)</f>
        <v>1595513.96</v>
      </c>
      <c r="D69" s="579">
        <f t="shared" si="6"/>
        <v>1116325101</v>
      </c>
      <c r="E69" s="579">
        <f t="shared" si="6"/>
        <v>79206009.060760692</v>
      </c>
      <c r="F69" s="579">
        <f>SUM(F78:F96)</f>
        <v>6742441</v>
      </c>
      <c r="G69" s="579">
        <f>SUM(G78:G96)</f>
        <v>220691469.23838761</v>
      </c>
      <c r="H69" s="350">
        <f>MAX(E69,G69)*'Clés de répartition'!$B$297</f>
        <v>138496008.65116835</v>
      </c>
      <c r="I69" s="350">
        <f>H69/('Clés de répartition'!B58*'Clés de répartition'!$D142)</f>
        <v>263.38227037709629</v>
      </c>
      <c r="J69" s="578"/>
    </row>
    <row r="70" spans="1:10">
      <c r="A70">
        <v>66007</v>
      </c>
      <c r="B70" s="78" t="s">
        <v>80</v>
      </c>
      <c r="C70" s="579">
        <v>10503.2</v>
      </c>
      <c r="D70" s="350">
        <v>1270601</v>
      </c>
      <c r="E70" s="350">
        <f>D70*(1-'Clés de répartition'!$B$300)*$B$12*(1+$B$12)^$B$13/((1+$B$12)^$B$13-1)</f>
        <v>90152.263196858461</v>
      </c>
      <c r="F70" s="579"/>
      <c r="G70" s="132">
        <f t="shared" si="5"/>
        <v>0</v>
      </c>
      <c r="H70" s="350">
        <f>MAX(E70,G70)*'Clés de répartition'!$B$297</f>
        <v>56575.492776060222</v>
      </c>
      <c r="I70" s="350">
        <f>H70/('Clés de répartition'!B59*'Clés de répartition'!$D143)</f>
        <v>29.847926904476839</v>
      </c>
      <c r="J70" s="578"/>
    </row>
    <row r="71" spans="1:10" ht="17">
      <c r="A71">
        <v>66047</v>
      </c>
      <c r="B71" s="229" t="s">
        <v>81</v>
      </c>
      <c r="C71" s="579">
        <v>550.5</v>
      </c>
      <c r="D71" s="350">
        <v>99100</v>
      </c>
      <c r="E71" s="350">
        <f>D71*(1-'Clés de répartition'!$B$300)*$B$12*(1+$B$12)^$B$13/((1+$B$12)^$B$13-1)</f>
        <v>7031.3885183536559</v>
      </c>
      <c r="F71" s="579"/>
      <c r="G71" s="132">
        <f t="shared" si="5"/>
        <v>0</v>
      </c>
      <c r="H71" s="350">
        <f>MAX(E71,G71)*'Clés de répartition'!$B$297</f>
        <v>4412.5821828469898</v>
      </c>
      <c r="I71" s="350">
        <f>H71/('Clés de répartition'!B60*'Clés de répartition'!$D144)</f>
        <v>2.9974575365029281</v>
      </c>
      <c r="J71" s="578"/>
    </row>
    <row r="72" spans="1:10" ht="17">
      <c r="A72">
        <v>66072</v>
      </c>
      <c r="B72" s="229" t="s">
        <v>78</v>
      </c>
      <c r="C72" s="579">
        <v>74212.799999999988</v>
      </c>
      <c r="D72" s="350">
        <v>38581500</v>
      </c>
      <c r="E72" s="350">
        <f>D72*(1-'Clés de répartition'!$B$300)*$B$12*(1+$B$12)^$B$13/((1+$B$12)^$B$13-1)</f>
        <v>2737452.2312902277</v>
      </c>
      <c r="F72" s="579"/>
      <c r="G72" s="132">
        <f t="shared" si="5"/>
        <v>0</v>
      </c>
      <c r="H72" s="350">
        <f>MAX(E72,G72)*'Clés de répartition'!$B$297</f>
        <v>1717901.5084511719</v>
      </c>
      <c r="I72" s="350">
        <f>H72/('Clés de répartition'!B61*'Clés de répartition'!$D145)</f>
        <v>288.49311057317806</v>
      </c>
      <c r="J72" s="578"/>
    </row>
    <row r="73" spans="1:10">
      <c r="A73">
        <v>66097</v>
      </c>
      <c r="B73" s="78" t="s">
        <v>82</v>
      </c>
      <c r="C73" s="579">
        <v>94903.7</v>
      </c>
      <c r="D73" s="350">
        <v>18686201</v>
      </c>
      <c r="E73" s="350">
        <f>D73*(1-'Clés de répartition'!$B$300)*$B$12*(1+$B$12)^$B$13/((1+$B$12)^$B$13-1)</f>
        <v>1325831.8785373219</v>
      </c>
      <c r="F73" s="579"/>
      <c r="G73" s="132">
        <f t="shared" si="5"/>
        <v>0</v>
      </c>
      <c r="H73" s="350">
        <f>MAX(E73,G73)*'Clés de répartition'!$B$297</f>
        <v>832032.26637434517</v>
      </c>
      <c r="I73" s="350">
        <f>H73/('Clés de répartition'!B62*'Clés de répartition'!$D146)</f>
        <v>60.022468509035114</v>
      </c>
      <c r="J73" s="578"/>
    </row>
    <row r="74" spans="1:10" ht="17">
      <c r="A74">
        <v>66117</v>
      </c>
      <c r="B74" s="229" t="s">
        <v>83</v>
      </c>
      <c r="C74" s="579">
        <v>11747.36</v>
      </c>
      <c r="D74" s="350">
        <v>3094300</v>
      </c>
      <c r="E74" s="350">
        <f>D74*(1-'Clés de répartition'!$B$300)*$B$12*(1+$B$12)^$B$13/((1+$B$12)^$B$13-1)</f>
        <v>219548.18862100621</v>
      </c>
      <c r="F74" s="579"/>
      <c r="G74" s="132">
        <f t="shared" si="5"/>
        <v>0</v>
      </c>
      <c r="H74" s="350">
        <f>MAX(E74,G74)*'Clés de répartition'!$B$297</f>
        <v>137778.53731971179</v>
      </c>
      <c r="I74" s="350">
        <f>H74/('Clés de répartition'!B63*'Clés de répartition'!$D147)</f>
        <v>61.811153291077801</v>
      </c>
      <c r="J74" s="578"/>
    </row>
    <row r="75" spans="1:10" ht="17">
      <c r="A75">
        <v>66127</v>
      </c>
      <c r="B75" s="229" t="s">
        <v>84</v>
      </c>
      <c r="C75" s="579">
        <v>0</v>
      </c>
      <c r="D75" s="350">
        <v>0</v>
      </c>
      <c r="E75" s="350">
        <f>D75*(1-'Clés de répartition'!$B$300)*$B$12*(1+$B$12)^$B$13/((1+$B$12)^$B$13-1)</f>
        <v>0</v>
      </c>
      <c r="F75" s="579"/>
      <c r="G75" s="132">
        <f t="shared" si="5"/>
        <v>0</v>
      </c>
      <c r="H75" s="350">
        <f>MAX(E75,G75)*'Clés de répartition'!$B$297</f>
        <v>0</v>
      </c>
      <c r="I75" s="350">
        <f>H75/('Clés de répartition'!B64*'Clés de répartition'!$D148)</f>
        <v>0</v>
      </c>
      <c r="J75" s="578"/>
    </row>
    <row r="76" spans="1:10">
      <c r="A76">
        <v>66032</v>
      </c>
      <c r="B76" s="78" t="s">
        <v>85</v>
      </c>
      <c r="C76" s="579">
        <v>23329.75</v>
      </c>
      <c r="D76" s="350">
        <v>5528700</v>
      </c>
      <c r="E76" s="350">
        <f>D76*(1-'Clés de répartition'!$B$300)*$B$12*(1+$B$12)^$B$13/((1+$B$12)^$B$13-1)</f>
        <v>392274.85067025077</v>
      </c>
      <c r="F76" s="579"/>
      <c r="G76" s="132">
        <f t="shared" si="5"/>
        <v>0</v>
      </c>
      <c r="H76" s="350">
        <f>MAX(E76,G76)*'Clés de répartition'!$B$297</f>
        <v>246173.99711711553</v>
      </c>
      <c r="I76" s="350">
        <f>H76/('Clés de répartition'!B65*'Clés de répartition'!$D149)</f>
        <v>50.739992673465323</v>
      </c>
      <c r="J76" s="578"/>
    </row>
    <row r="77" spans="1:10">
      <c r="A77" s="254"/>
      <c r="B77" s="397"/>
      <c r="C77" s="397"/>
      <c r="D77" s="397"/>
      <c r="E77" s="397"/>
      <c r="F77" s="397"/>
      <c r="G77" s="397"/>
      <c r="H77" s="397"/>
      <c r="I77" s="397"/>
      <c r="J77" s="578"/>
    </row>
    <row r="78" spans="1:10">
      <c r="A78" s="246" t="s">
        <v>704</v>
      </c>
      <c r="B78" s="597" t="s">
        <v>154</v>
      </c>
      <c r="C78" s="579">
        <v>41336.050000000003</v>
      </c>
      <c r="D78" s="350">
        <v>16142000</v>
      </c>
      <c r="E78" s="350">
        <f>D78*(1-'Clés de répartition'!$B$300)*$B$12*(1+$B$12)^$B$13/((1+$B$12)^$B$13-1)</f>
        <v>1145314.5657241645</v>
      </c>
      <c r="F78" s="579">
        <v>244345</v>
      </c>
      <c r="G78" s="132">
        <f t="shared" si="5"/>
        <v>11231261.932168428</v>
      </c>
      <c r="H78" s="350">
        <f>MAX(E78,G78)*'Clés de répartition'!$B$297</f>
        <v>7048233.242042196</v>
      </c>
      <c r="I78" s="350">
        <f>H78/('Clés de répartition'!B67*'Clés de répartition'!$D151)</f>
        <v>177.13219361176064</v>
      </c>
      <c r="J78" s="578"/>
    </row>
    <row r="79" spans="1:10">
      <c r="A79" s="246" t="s">
        <v>705</v>
      </c>
      <c r="B79" s="597" t="s">
        <v>155</v>
      </c>
      <c r="C79" s="579">
        <v>32351.08</v>
      </c>
      <c r="D79" s="350">
        <v>6386400</v>
      </c>
      <c r="E79" s="350">
        <f>D79*(1-'Clés de répartition'!$B$300)*$B$12*(1+$B$12)^$B$13/((1+$B$12)^$B$13-1)</f>
        <v>453130.77329580009</v>
      </c>
      <c r="F79" s="579">
        <v>536610</v>
      </c>
      <c r="G79" s="132">
        <f t="shared" si="5"/>
        <v>11633981.206257844</v>
      </c>
      <c r="H79" s="350">
        <f>MAX(E79,G79)*'Clés de répartition'!$B$297</f>
        <v>7300961.6880521895</v>
      </c>
      <c r="I79" s="350">
        <f>H79/('Clés de répartition'!B68*'Clés de répartition'!$D152)</f>
        <v>533.16692956766963</v>
      </c>
      <c r="J79" s="578"/>
    </row>
    <row r="80" spans="1:10">
      <c r="A80" s="246" t="s">
        <v>706</v>
      </c>
      <c r="B80" s="597" t="s">
        <v>156</v>
      </c>
      <c r="C80" s="579">
        <v>71459.14</v>
      </c>
      <c r="D80" s="350">
        <v>37960500</v>
      </c>
      <c r="E80" s="350">
        <f>D80*(1-'Clés de répartition'!$B$300)*$B$12*(1+$B$12)^$B$13/((1+$B$12)^$B$13-1)</f>
        <v>2693390.7553074057</v>
      </c>
      <c r="F80" s="579">
        <v>177005</v>
      </c>
      <c r="G80" s="132">
        <f t="shared" si="5"/>
        <v>10334582.865258437</v>
      </c>
      <c r="H80" s="350">
        <f>MAX(E80,G80)*'Clés de répartition'!$B$297</f>
        <v>6485517.9171741409</v>
      </c>
      <c r="I80" s="350">
        <f>H80/('Clés de répartition'!B69*'Clés de répartition'!$D153)</f>
        <v>149.03590546465705</v>
      </c>
      <c r="J80" s="578"/>
    </row>
    <row r="81" spans="1:10">
      <c r="A81" s="246" t="s">
        <v>707</v>
      </c>
      <c r="B81" s="597" t="s">
        <v>403</v>
      </c>
      <c r="C81" s="579">
        <v>8951.2999999999993</v>
      </c>
      <c r="D81" s="350">
        <v>1386500</v>
      </c>
      <c r="E81" s="350">
        <f>D81*(1-'Clés de répartition'!$B$300)*$B$12*(1+$B$12)^$B$13/((1+$B$12)^$B$13-1)</f>
        <v>98375.58204538186</v>
      </c>
      <c r="F81" s="579">
        <v>44737</v>
      </c>
      <c r="G81" s="132">
        <f t="shared" si="5"/>
        <v>251728.17707045871</v>
      </c>
      <c r="H81" s="350">
        <f>MAX(E81,G81)*'Clés de répartition'!$B$297</f>
        <v>157973.24613229261</v>
      </c>
      <c r="I81" s="350">
        <f>H81/('Clés de répartition'!B70*'Clés de répartition'!$D154)</f>
        <v>17.828935185043324</v>
      </c>
      <c r="J81" s="578"/>
    </row>
    <row r="82" spans="1:10">
      <c r="A82" s="246" t="s">
        <v>708</v>
      </c>
      <c r="B82" s="597" t="s">
        <v>168</v>
      </c>
      <c r="C82" s="579">
        <v>88442.35</v>
      </c>
      <c r="D82" s="350">
        <v>19712100</v>
      </c>
      <c r="E82" s="350">
        <f>D82*(1-'Clés de répartition'!$B$300)*$B$12*(1+$B$12)^$B$13/((1+$B$12)^$B$13-1)</f>
        <v>1398621.9335281441</v>
      </c>
      <c r="F82" s="579">
        <v>935992</v>
      </c>
      <c r="G82" s="132">
        <f t="shared" si="5"/>
        <v>20556895.708901096</v>
      </c>
      <c r="H82" s="350">
        <f>MAX(E82,G82)*'Clés de répartition'!$B$297</f>
        <v>12900580.234326109</v>
      </c>
      <c r="I82" s="350">
        <f>H82/('Clés de répartition'!B71*'Clés de répartition'!$D155)</f>
        <v>658.93234610069521</v>
      </c>
      <c r="J82" s="578"/>
    </row>
    <row r="83" spans="1:10">
      <c r="A83" s="246" t="s">
        <v>709</v>
      </c>
      <c r="B83" s="597" t="s">
        <v>167</v>
      </c>
      <c r="C83" s="579">
        <v>75441.39</v>
      </c>
      <c r="D83" s="350">
        <v>23946500</v>
      </c>
      <c r="E83" s="350">
        <f>D83*(1-'Clés de répartition'!$B$300)*$B$12*(1+$B$12)^$B$13/((1+$B$12)^$B$13-1)</f>
        <v>1699063.0187160021</v>
      </c>
      <c r="F83" s="579">
        <v>699927</v>
      </c>
      <c r="G83" s="132">
        <f t="shared" si="5"/>
        <v>24898669.822750721</v>
      </c>
      <c r="H83" s="350">
        <f>MAX(E83,G83)*'Clés de répartition'!$B$297</f>
        <v>15625281.770404069</v>
      </c>
      <c r="I83" s="350">
        <f>H83/('Clés de répartition'!B72*'Clés de répartition'!$D156)</f>
        <v>488.70665933664469</v>
      </c>
      <c r="J83" s="578"/>
    </row>
    <row r="84" spans="1:10">
      <c r="A84" s="246" t="s">
        <v>710</v>
      </c>
      <c r="B84" s="597" t="s">
        <v>170</v>
      </c>
      <c r="C84" s="579">
        <v>145718.29999999999</v>
      </c>
      <c r="D84" s="350">
        <v>35910300</v>
      </c>
      <c r="E84" s="350">
        <f>D84*(1-'Clés de répartition'!$B$300)*$B$12*(1+$B$12)^$B$13/((1+$B$12)^$B$13-1)</f>
        <v>2547924.0273525254</v>
      </c>
      <c r="F84" s="579">
        <v>387891</v>
      </c>
      <c r="G84" s="132">
        <f t="shared" si="5"/>
        <v>13695024.202357454</v>
      </c>
      <c r="H84" s="350">
        <f>MAX(E84,G84)*'Clés de répartition'!$B$297</f>
        <v>8594379.2796035279</v>
      </c>
      <c r="I84" s="350">
        <f>H84/('Clés de répartition'!B73*'Clés de répartition'!$D157)</f>
        <v>203.2104110329384</v>
      </c>
      <c r="J84" s="578"/>
    </row>
    <row r="85" spans="1:10">
      <c r="A85" s="246" t="s">
        <v>711</v>
      </c>
      <c r="B85" s="597" t="s">
        <v>171</v>
      </c>
      <c r="C85" s="579">
        <v>26793.39</v>
      </c>
      <c r="D85" s="350">
        <v>6100600</v>
      </c>
      <c r="E85" s="350">
        <f>D85*(1-'Clés de répartition'!$B$300)*$B$12*(1+$B$12)^$B$13/((1+$B$12)^$B$13-1)</f>
        <v>432852.56099968019</v>
      </c>
      <c r="F85" s="579">
        <v>250067</v>
      </c>
      <c r="G85" s="132">
        <f t="shared" si="5"/>
        <v>7790171.6222934863</v>
      </c>
      <c r="H85" s="350">
        <f>MAX(E85,G85)*'Clés de répartition'!$B$297</f>
        <v>4888760.2231231919</v>
      </c>
      <c r="I85" s="350">
        <f>H85/('Clés de répartition'!B74*'Clés de répartition'!$D158)</f>
        <v>185.44874266318058</v>
      </c>
      <c r="J85" s="578"/>
    </row>
    <row r="86" spans="1:10">
      <c r="A86" s="246" t="s">
        <v>712</v>
      </c>
      <c r="B86" s="597" t="s">
        <v>172</v>
      </c>
      <c r="C86" s="579">
        <v>2893.1</v>
      </c>
      <c r="D86" s="350">
        <v>2215100</v>
      </c>
      <c r="E86" s="350">
        <f>D86*(1-'Clés de répartition'!$B$300)*$B$12*(1+$B$12)^$B$13/((1+$B$12)^$B$13-1)</f>
        <v>157166.78816352354</v>
      </c>
      <c r="F86" s="579">
        <v>0</v>
      </c>
      <c r="G86" s="132">
        <f t="shared" si="5"/>
        <v>0</v>
      </c>
      <c r="H86" s="350">
        <f>MAX(E86,G86)*'Clés de répartition'!$B$297</f>
        <v>98630.784997218638</v>
      </c>
      <c r="I86" s="350">
        <f>H86/('Clés de répartition'!B75*'Clés de répartition'!$D159)</f>
        <v>21.409259081666779</v>
      </c>
      <c r="J86" s="578"/>
    </row>
    <row r="87" spans="1:10">
      <c r="A87" s="246" t="s">
        <v>713</v>
      </c>
      <c r="B87" s="597" t="s">
        <v>173</v>
      </c>
      <c r="C87" s="579">
        <v>72843.100000000006</v>
      </c>
      <c r="D87" s="350">
        <v>17487000</v>
      </c>
      <c r="E87" s="350">
        <f>D87*(1-'Clés de répartition'!$B$300)*$B$12*(1+$B$12)^$B$13/((1+$B$12)^$B$13-1)</f>
        <v>1240745.6207916283</v>
      </c>
      <c r="F87" s="579">
        <v>83617</v>
      </c>
      <c r="G87" s="132">
        <f t="shared" si="5"/>
        <v>1671201.5145502677</v>
      </c>
      <c r="H87" s="350">
        <f>MAX(E87,G87)*'Clés de répartition'!$B$297</f>
        <v>1048770.6671026128</v>
      </c>
      <c r="I87" s="350">
        <f>H87/('Clés de répartition'!B76*'Clés de répartition'!$D160)</f>
        <v>33.988580472401068</v>
      </c>
      <c r="J87" s="578"/>
    </row>
    <row r="88" spans="1:10">
      <c r="A88" s="246" t="s">
        <v>715</v>
      </c>
      <c r="B88" s="597" t="s">
        <v>350</v>
      </c>
      <c r="C88" s="579">
        <v>41271.550000000003</v>
      </c>
      <c r="D88" s="350">
        <v>66640800</v>
      </c>
      <c r="E88" s="350">
        <f>D88*(1-'Clés de répartition'!$B$300)*$B$12*(1+$B$12)^$B$13/((1+$B$12)^$B$13-1)</f>
        <v>4728328.5163865006</v>
      </c>
      <c r="F88" s="579">
        <v>17862</v>
      </c>
      <c r="G88" s="132">
        <f t="shared" si="5"/>
        <v>2288389.9645798532</v>
      </c>
      <c r="H88" s="350">
        <f>MAX(E88,G88)*'Clés de répartition'!$B$297</f>
        <v>2967285.6380491382</v>
      </c>
      <c r="I88" s="350">
        <f>H88/('Clés de répartition'!B77*'Clés de répartition'!$D161)</f>
        <v>147.77471496195756</v>
      </c>
      <c r="J88" s="578"/>
    </row>
    <row r="89" spans="1:10">
      <c r="A89" s="246" t="s">
        <v>714</v>
      </c>
      <c r="B89" s="597" t="s">
        <v>174</v>
      </c>
      <c r="C89" s="579">
        <v>97617.98</v>
      </c>
      <c r="D89" s="350">
        <v>11364700</v>
      </c>
      <c r="E89" s="350">
        <f>D89*(1-'Clés de répartition'!$B$300)*$B$12*(1+$B$12)^$B$13/((1+$B$12)^$B$13-1)</f>
        <v>806353.39146855485</v>
      </c>
      <c r="F89" s="579">
        <v>687076</v>
      </c>
      <c r="G89" s="132">
        <f t="shared" si="5"/>
        <v>11209397.017274735</v>
      </c>
      <c r="H89" s="350">
        <f>MAX(E89,G89)*'Clés de répartition'!$B$297</f>
        <v>7034511.807984395</v>
      </c>
      <c r="I89" s="350">
        <f>H89/('Clés de répartition'!B78*'Clés de répartition'!$D162)</f>
        <v>159.32939976173111</v>
      </c>
      <c r="J89" s="578"/>
    </row>
    <row r="90" spans="1:10">
      <c r="A90" s="63" t="s">
        <v>716</v>
      </c>
      <c r="B90" s="597" t="s">
        <v>175</v>
      </c>
      <c r="C90" s="579">
        <v>72900.41</v>
      </c>
      <c r="D90" s="350">
        <v>51705700</v>
      </c>
      <c r="E90" s="350">
        <f>D90*(1-'Clés de répartition'!$B$300)*$B$12*(1+$B$12)^$B$13/((1+$B$12)^$B$13-1)</f>
        <v>3668646.4713767772</v>
      </c>
      <c r="F90" s="579">
        <v>69093</v>
      </c>
      <c r="G90" s="132">
        <f t="shared" si="5"/>
        <v>5241488.7433297057</v>
      </c>
      <c r="H90" s="350">
        <f>MAX(E90,G90)*'Clés de répartition'!$B$297</f>
        <v>3289321.8430525688</v>
      </c>
      <c r="I90" s="350">
        <f>H90/('Clés de répartition'!B79*'Clés de répartition'!$D163)</f>
        <v>90.584832640248166</v>
      </c>
      <c r="J90" s="578"/>
    </row>
    <row r="91" spans="1:10">
      <c r="A91" s="63" t="s">
        <v>717</v>
      </c>
      <c r="B91" s="597" t="s">
        <v>176</v>
      </c>
      <c r="C91" s="579">
        <v>189893.04</v>
      </c>
      <c r="D91" s="350">
        <v>42956200</v>
      </c>
      <c r="E91" s="350">
        <f>D91*(1-'Clés de répartition'!$B$300)*$B$12*(1+$B$12)^$B$13/((1+$B$12)^$B$13-1)</f>
        <v>3047847.9462371673</v>
      </c>
      <c r="F91" s="579">
        <v>1680993</v>
      </c>
      <c r="G91" s="132">
        <f t="shared" si="5"/>
        <v>37370272.514321133</v>
      </c>
      <c r="H91" s="350">
        <f>MAX(E91,G91)*'Clés de répartition'!$B$297</f>
        <v>23451896.909750041</v>
      </c>
      <c r="I91" s="350">
        <f>H91/('Clés de répartition'!B80*'Clés de répartition'!$D164)</f>
        <v>675.59865646458843</v>
      </c>
      <c r="J91" s="578"/>
    </row>
    <row r="92" spans="1:10">
      <c r="A92" s="63" t="s">
        <v>718</v>
      </c>
      <c r="B92" s="597" t="s">
        <v>177</v>
      </c>
      <c r="C92" s="579">
        <v>63479.85</v>
      </c>
      <c r="D92" s="350">
        <v>16444100</v>
      </c>
      <c r="E92" s="350">
        <f>D92*(1-'Clés de répartition'!$B$300)*$B$12*(1+$B$12)^$B$13/((1+$B$12)^$B$13-1)</f>
        <v>1166749.3030742616</v>
      </c>
      <c r="F92" s="579">
        <v>279669</v>
      </c>
      <c r="G92" s="132">
        <f t="shared" si="5"/>
        <v>10106876.827356711</v>
      </c>
      <c r="H92" s="350">
        <f>MAX(E92,G92)*'Clés de répartition'!$B$297</f>
        <v>6342619.8817222333</v>
      </c>
      <c r="I92" s="350">
        <f>H92/('Clés de répartition'!B81*'Clés de répartition'!$D165)</f>
        <v>231.59314951368572</v>
      </c>
      <c r="J92" s="578"/>
    </row>
    <row r="93" spans="1:10">
      <c r="A93" s="63" t="s">
        <v>722</v>
      </c>
      <c r="B93" s="597" t="s">
        <v>351</v>
      </c>
      <c r="C93" s="579">
        <v>149649.32999999999</v>
      </c>
      <c r="D93" s="350">
        <v>105671300</v>
      </c>
      <c r="E93" s="350">
        <f>D93*(1-'Clés de répartition'!$B$300)*$B$12*(1+$B$12)^$B$13/((1+$B$12)^$B$13-1)</f>
        <v>7497638.4010040825</v>
      </c>
      <c r="F93" s="579">
        <v>185767</v>
      </c>
      <c r="G93" s="132">
        <f t="shared" si="5"/>
        <v>6992815.4893799368</v>
      </c>
      <c r="H93" s="350">
        <f>MAX(E93,G93)*'Clés de répartition'!$B$297</f>
        <v>4705179.572333795</v>
      </c>
      <c r="I93" s="350">
        <f>H93/('Clés de répartition'!B82*'Clés de répartition'!$D166)</f>
        <v>222.04267093752836</v>
      </c>
      <c r="J93" s="578"/>
    </row>
    <row r="94" spans="1:10">
      <c r="A94" s="246" t="s">
        <v>719</v>
      </c>
      <c r="B94" s="597" t="s">
        <v>856</v>
      </c>
      <c r="C94" s="579">
        <v>48353.4</v>
      </c>
      <c r="D94" s="350">
        <v>41542000</v>
      </c>
      <c r="E94" s="350">
        <f>D94*(1-'Clés de répartition'!$B$300)*$B$12*(1+$B$12)^$B$13/((1+$B$12)^$B$13-1)</f>
        <v>2947506.9811245967</v>
      </c>
      <c r="F94" s="579">
        <v>12592</v>
      </c>
      <c r="G94" s="132">
        <f t="shared" si="5"/>
        <v>775975.43904361862</v>
      </c>
      <c r="H94" s="350">
        <f>MAX(E94,G94)*'Clés de répartition'!$B$297</f>
        <v>1849722.3919256269</v>
      </c>
      <c r="I94" s="350">
        <f>H94/('Clés de répartition'!B83*'Clés de répartition'!$D167)</f>
        <v>94.763389479397915</v>
      </c>
      <c r="J94" s="578"/>
    </row>
    <row r="95" spans="1:10">
      <c r="A95" s="246" t="s">
        <v>720</v>
      </c>
      <c r="B95" s="597" t="s">
        <v>178</v>
      </c>
      <c r="C95" s="579">
        <v>204178.98</v>
      </c>
      <c r="D95" s="350">
        <v>554719101</v>
      </c>
      <c r="E95" s="350">
        <f>D95*(1-'Clés de répartition'!$B$300)*$B$12*(1+$B$12)^$B$13/((1+$B$12)^$B$13-1)</f>
        <v>39358683.326769538</v>
      </c>
      <c r="F95" s="579">
        <v>328202</v>
      </c>
      <c r="G95" s="132">
        <f t="shared" si="5"/>
        <v>38910269.64126692</v>
      </c>
      <c r="H95" s="350">
        <f>MAX(E95,G95)*'Clés de répartition'!$B$297</f>
        <v>24699733.819954585</v>
      </c>
      <c r="I95" s="350">
        <f>H95/('Clés de répartition'!B84*'Clés de répartition'!$D168)</f>
        <v>950.93769346703141</v>
      </c>
      <c r="J95" s="578"/>
    </row>
    <row r="96" spans="1:10">
      <c r="A96" s="246" t="s">
        <v>721</v>
      </c>
      <c r="B96" s="597" t="s">
        <v>179</v>
      </c>
      <c r="C96" s="579">
        <v>161940.22</v>
      </c>
      <c r="D96" s="350">
        <v>58034200</v>
      </c>
      <c r="E96" s="350">
        <f>D96*(1-'Clés de répartition'!$B$300)*$B$12*(1+$B$12)^$B$13/((1+$B$12)^$B$13-1)</f>
        <v>4117669.0973949516</v>
      </c>
      <c r="F96" s="579">
        <v>120996</v>
      </c>
      <c r="G96" s="132">
        <f t="shared" si="5"/>
        <v>5732466.5502268318</v>
      </c>
      <c r="H96" s="350">
        <f>MAX(E96,G96)*'Clés de répartition'!$B$297</f>
        <v>3597437.3620901676</v>
      </c>
      <c r="I96" s="350">
        <f>H96/('Clés de répartition'!B85*'Clés de répartition'!$D169)</f>
        <v>102.8427812154961</v>
      </c>
      <c r="J96" s="578"/>
    </row>
    <row r="97" spans="1:10">
      <c r="A97" s="63"/>
      <c r="B97" s="63"/>
      <c r="C97" s="579"/>
      <c r="F97" s="579"/>
      <c r="G97" s="132"/>
      <c r="H97" s="63"/>
      <c r="I97" s="350"/>
      <c r="J97" s="63"/>
    </row>
    <row r="98" spans="1:10">
      <c r="A98" s="63"/>
      <c r="B98" s="583" t="s">
        <v>1065</v>
      </c>
      <c r="C98" s="63"/>
      <c r="D98" s="63"/>
      <c r="E98" s="63"/>
      <c r="F98" s="63"/>
      <c r="G98" s="132"/>
      <c r="H98" s="63"/>
    </row>
    <row r="99" spans="1:10">
      <c r="A99" s="63"/>
      <c r="B99" s="63"/>
      <c r="C99" s="63"/>
      <c r="D99" s="63"/>
      <c r="E99" s="63"/>
      <c r="F99" s="63"/>
      <c r="G99" s="132"/>
      <c r="H99" s="63"/>
    </row>
    <row r="100" spans="1:10">
      <c r="A100" s="63"/>
      <c r="B100" s="583" t="s">
        <v>1066</v>
      </c>
      <c r="C100" s="63"/>
      <c r="D100" s="63"/>
      <c r="E100" s="63"/>
      <c r="F100" s="63"/>
      <c r="G100" s="132"/>
      <c r="H100" s="63"/>
    </row>
    <row r="101" spans="1:10">
      <c r="A101" s="63"/>
      <c r="B101" s="63"/>
      <c r="C101" s="63"/>
      <c r="D101" s="63"/>
      <c r="E101" s="63"/>
      <c r="F101" s="63"/>
      <c r="G101" s="132"/>
      <c r="H101" s="63"/>
    </row>
    <row r="102" spans="1:10">
      <c r="C102" s="78"/>
      <c r="D102" s="60"/>
      <c r="G102" s="132"/>
    </row>
    <row r="103" spans="1:10">
      <c r="G103" s="132"/>
    </row>
    <row r="104" spans="1:10">
      <c r="G104" s="132"/>
    </row>
    <row r="105" spans="1:10">
      <c r="B105" s="63"/>
      <c r="C105" s="63"/>
      <c r="D105" s="63"/>
      <c r="E105" s="63"/>
      <c r="F105" s="63"/>
      <c r="G105" s="132"/>
      <c r="H105" s="63"/>
      <c r="I105" s="63"/>
    </row>
    <row r="106" spans="1:10">
      <c r="G106" s="132"/>
    </row>
    <row r="107" spans="1:10">
      <c r="G107" s="132"/>
    </row>
    <row r="108" spans="1:10">
      <c r="G108" s="132"/>
    </row>
    <row r="109" spans="1:10">
      <c r="G109" s="132"/>
    </row>
    <row r="110" spans="1:10">
      <c r="G110" s="132"/>
    </row>
    <row r="111" spans="1:10">
      <c r="G111" s="132"/>
    </row>
    <row r="112" spans="1:10">
      <c r="G112" s="132"/>
    </row>
    <row r="113" spans="7:11" ht="21" customHeight="1">
      <c r="G113" s="132"/>
    </row>
    <row r="114" spans="7:11">
      <c r="G114" s="132"/>
    </row>
    <row r="115" spans="7:11">
      <c r="G115" s="132"/>
    </row>
    <row r="116" spans="7:11">
      <c r="G116" s="132"/>
    </row>
    <row r="117" spans="7:11">
      <c r="G117" s="132"/>
    </row>
    <row r="118" spans="7:11">
      <c r="G118" s="132"/>
      <c r="J118" s="395"/>
    </row>
    <row r="119" spans="7:11">
      <c r="G119" s="132"/>
    </row>
    <row r="120" spans="7:11">
      <c r="G120" s="132"/>
    </row>
    <row r="121" spans="7:11">
      <c r="G121" s="132"/>
    </row>
    <row r="122" spans="7:11">
      <c r="G122" s="132"/>
    </row>
    <row r="123" spans="7:11">
      <c r="G123" s="132"/>
    </row>
    <row r="124" spans="7:11">
      <c r="G124" s="132"/>
    </row>
    <row r="125" spans="7:11">
      <c r="G125" s="132"/>
    </row>
    <row r="126" spans="7:11">
      <c r="G126" s="132"/>
      <c r="J126" s="53"/>
      <c r="K126" s="54"/>
    </row>
    <row r="127" spans="7:11">
      <c r="G127" s="132"/>
    </row>
    <row r="128" spans="7:11">
      <c r="G128" s="132"/>
    </row>
    <row r="129" spans="7:7">
      <c r="G129" s="132"/>
    </row>
    <row r="130" spans="7:7">
      <c r="G130" s="132"/>
    </row>
    <row r="131" spans="7:7">
      <c r="G131" s="132"/>
    </row>
    <row r="132" spans="7:7">
      <c r="G132" s="132"/>
    </row>
    <row r="133" spans="7:7">
      <c r="G133" s="132"/>
    </row>
    <row r="134" spans="7:7">
      <c r="G134" s="132"/>
    </row>
    <row r="135" spans="7:7">
      <c r="G135" s="132"/>
    </row>
    <row r="148" spans="2:9">
      <c r="B148" s="63"/>
      <c r="C148" s="63"/>
      <c r="D148" s="63"/>
      <c r="E148" s="63"/>
      <c r="F148" s="63"/>
      <c r="G148" s="63"/>
      <c r="H148" s="63"/>
      <c r="I148" s="63"/>
    </row>
    <row r="149" spans="2:9">
      <c r="B149" s="63"/>
      <c r="C149" s="63"/>
      <c r="D149" s="63"/>
      <c r="E149" s="63"/>
      <c r="F149" s="63"/>
      <c r="G149" s="63"/>
      <c r="H149" s="63"/>
      <c r="I149" s="63"/>
    </row>
    <row r="150" spans="2:9">
      <c r="B150" s="63"/>
      <c r="C150" s="63"/>
      <c r="D150" s="63"/>
      <c r="E150" s="63"/>
      <c r="F150" s="63"/>
      <c r="G150" s="63"/>
      <c r="H150" s="63"/>
      <c r="I150" s="63"/>
    </row>
    <row r="151" spans="2:9">
      <c r="B151" s="63"/>
      <c r="C151" s="63"/>
      <c r="D151" s="63"/>
      <c r="E151" s="63"/>
      <c r="F151" s="63"/>
      <c r="G151" s="63"/>
      <c r="H151" s="63"/>
      <c r="I151" s="63"/>
    </row>
    <row r="152" spans="2:9">
      <c r="B152" s="63"/>
      <c r="C152" s="63"/>
      <c r="D152" s="63"/>
      <c r="E152" s="63"/>
      <c r="F152" s="63"/>
      <c r="G152" s="63"/>
      <c r="H152" s="63"/>
      <c r="I152" s="63"/>
    </row>
    <row r="153" spans="2:9">
      <c r="B153" s="63"/>
      <c r="C153" s="63"/>
      <c r="D153" s="63"/>
      <c r="E153" s="63"/>
      <c r="F153" s="63"/>
      <c r="G153" s="63"/>
      <c r="H153" s="63"/>
      <c r="I153" s="63"/>
    </row>
    <row r="154" spans="2:9">
      <c r="B154" s="63"/>
      <c r="C154" s="63"/>
      <c r="D154" s="63"/>
      <c r="E154" s="63"/>
      <c r="F154" s="63"/>
      <c r="G154" s="63"/>
      <c r="H154" s="63"/>
      <c r="I154" s="63"/>
    </row>
    <row r="155" spans="2:9">
      <c r="B155" s="63"/>
      <c r="C155" s="63"/>
      <c r="D155" s="63"/>
      <c r="E155" s="63"/>
      <c r="F155" s="63"/>
      <c r="G155" s="63"/>
      <c r="H155" s="63"/>
      <c r="I155" s="63"/>
    </row>
    <row r="156" spans="2:9">
      <c r="B156" s="63"/>
      <c r="C156" s="63"/>
      <c r="D156" s="63"/>
      <c r="E156" s="63"/>
      <c r="F156" s="63"/>
      <c r="G156" s="63"/>
      <c r="H156" s="63"/>
      <c r="I156" s="63"/>
    </row>
    <row r="157" spans="2:9">
      <c r="B157" s="63"/>
      <c r="C157" s="63"/>
      <c r="D157" s="63"/>
      <c r="E157" s="63"/>
      <c r="F157" s="63"/>
      <c r="G157" s="63"/>
      <c r="H157" s="63"/>
      <c r="I157" s="63"/>
    </row>
    <row r="158" spans="2:9">
      <c r="B158" s="63"/>
      <c r="C158" s="63"/>
      <c r="D158" s="63"/>
      <c r="E158" s="63"/>
      <c r="F158" s="63"/>
      <c r="G158" s="63"/>
      <c r="H158" s="63"/>
      <c r="I158" s="63"/>
    </row>
    <row r="159" spans="2:9">
      <c r="B159" s="63"/>
      <c r="C159" s="63"/>
      <c r="D159" s="63"/>
      <c r="E159" s="63"/>
      <c r="F159" s="63"/>
      <c r="G159" s="63"/>
      <c r="H159" s="63"/>
      <c r="I159" s="63"/>
    </row>
    <row r="160" spans="2:9">
      <c r="B160" s="63"/>
      <c r="C160" s="63"/>
      <c r="D160" s="63"/>
      <c r="E160" s="63"/>
      <c r="F160" s="63"/>
      <c r="G160" s="63"/>
      <c r="H160" s="63"/>
      <c r="I160" s="63"/>
    </row>
    <row r="161" spans="2:9">
      <c r="B161" s="63"/>
      <c r="C161" s="63"/>
      <c r="D161" s="63"/>
      <c r="E161" s="63"/>
      <c r="F161" s="63"/>
      <c r="G161" s="63"/>
      <c r="H161" s="63"/>
      <c r="I161" s="63"/>
    </row>
    <row r="162" spans="2:9">
      <c r="B162" s="63"/>
      <c r="C162" s="63"/>
      <c r="D162" s="63"/>
      <c r="E162" s="63"/>
      <c r="F162" s="63"/>
      <c r="G162" s="63"/>
      <c r="H162" s="63"/>
      <c r="I162" s="63"/>
    </row>
    <row r="163" spans="2:9">
      <c r="B163" s="63"/>
      <c r="C163" s="63"/>
      <c r="D163" s="63"/>
      <c r="E163" s="63"/>
      <c r="F163" s="63"/>
      <c r="G163" s="63"/>
      <c r="H163" s="63"/>
      <c r="I163" s="63"/>
    </row>
    <row r="164" spans="2:9">
      <c r="B164" s="63"/>
      <c r="C164" s="63"/>
      <c r="D164" s="63"/>
      <c r="E164" s="63"/>
      <c r="F164" s="63"/>
      <c r="G164" s="63"/>
      <c r="H164" s="63"/>
      <c r="I164" s="63"/>
    </row>
    <row r="165" spans="2:9">
      <c r="B165" s="63"/>
      <c r="C165" s="63"/>
      <c r="D165" s="63"/>
      <c r="E165" s="63"/>
      <c r="F165" s="63"/>
      <c r="G165" s="63"/>
      <c r="H165" s="63"/>
      <c r="I165" s="63"/>
    </row>
    <row r="166" spans="2:9">
      <c r="B166" s="63"/>
      <c r="C166" s="63"/>
      <c r="D166" s="63"/>
      <c r="E166" s="63"/>
      <c r="F166" s="63"/>
      <c r="G166" s="63"/>
      <c r="H166" s="63"/>
      <c r="I166" s="63"/>
    </row>
  </sheetData>
  <mergeCells count="5">
    <mergeCell ref="L15:O15"/>
    <mergeCell ref="B16:C16"/>
    <mergeCell ref="B55:C55"/>
    <mergeCell ref="H15:K15"/>
    <mergeCell ref="A4:F4"/>
  </mergeCells>
  <conditionalFormatting sqref="F17:F32 F34:F52">
    <cfRule type="colorScale" priority="1">
      <colorScale>
        <cfvo type="min"/>
        <cfvo type="percentile" val="50"/>
        <cfvo type="max"/>
        <color rgb="FF63BE7B"/>
        <color rgb="FFFFEB84"/>
        <color rgb="FFF8696B"/>
      </colorScale>
    </cfRule>
  </conditionalFormatting>
  <hyperlinks>
    <hyperlink ref="B56" r:id="rId1" xr:uid="{435AF6FF-CE26-A148-84BC-E6A9CA8830DB}"/>
    <hyperlink ref="A1" location="'Table des matières'!A1" display="Retour à la Table des matières" xr:uid="{30A1D716-D580-8A41-9DA4-4B86D1841950}"/>
  </hyperlinks>
  <pageMargins left="0.7" right="0.7" top="0.75" bottom="0.75" header="0.3" footer="0.3"/>
  <pageSetup orientation="portrait" horizontalDpi="0" verticalDpi="0"/>
  <ignoredErrors>
    <ignoredError sqref="G69" formula="1"/>
  </ignoredError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83509E-653F-0F49-8FA5-DBF17DC9F09F}">
  <sheetPr codeName="Sheet26"/>
  <dimension ref="A1:V37"/>
  <sheetViews>
    <sheetView workbookViewId="0">
      <selection activeCell="B33" sqref="B33"/>
    </sheetView>
  </sheetViews>
  <sheetFormatPr baseColWidth="10" defaultRowHeight="16"/>
  <cols>
    <col min="1" max="1" width="20.1640625" customWidth="1"/>
    <col min="7" max="7" width="29.1640625" customWidth="1"/>
    <col min="8" max="8" width="14.5" style="20" customWidth="1"/>
    <col min="9" max="10" width="13.1640625" style="20" customWidth="1"/>
    <col min="11" max="11" width="16.1640625" style="20" customWidth="1"/>
    <col min="12" max="13" width="14.83203125" style="20" customWidth="1"/>
    <col min="14" max="16" width="10.83203125" style="20"/>
    <col min="17" max="17" width="20.33203125" style="20" customWidth="1"/>
    <col min="18" max="18" width="16.1640625" style="20" customWidth="1"/>
    <col min="19" max="19" width="20.83203125" style="20" customWidth="1"/>
    <col min="20" max="20" width="12.5" customWidth="1"/>
  </cols>
  <sheetData>
    <row r="1" spans="1:22">
      <c r="A1" t="s">
        <v>1096</v>
      </c>
      <c r="B1" t="s">
        <v>1101</v>
      </c>
      <c r="H1" s="20" t="s">
        <v>1119</v>
      </c>
      <c r="I1" s="20" t="s">
        <v>1120</v>
      </c>
      <c r="J1" s="20" t="s">
        <v>1106</v>
      </c>
      <c r="K1" s="20" t="s">
        <v>1103</v>
      </c>
      <c r="L1" s="20" t="s">
        <v>1107</v>
      </c>
      <c r="M1" s="20" t="s">
        <v>1121</v>
      </c>
      <c r="N1" s="20" t="s">
        <v>1104</v>
      </c>
      <c r="O1" s="20" t="s">
        <v>1125</v>
      </c>
      <c r="P1" s="20" t="s">
        <v>1105</v>
      </c>
      <c r="Q1" s="20" t="s">
        <v>1108</v>
      </c>
      <c r="R1" s="20" t="s">
        <v>1126</v>
      </c>
      <c r="S1" s="20" t="s">
        <v>1109</v>
      </c>
      <c r="T1" s="20" t="s">
        <v>1110</v>
      </c>
      <c r="U1" s="20" t="s">
        <v>1114</v>
      </c>
      <c r="V1" s="20" t="s">
        <v>1124</v>
      </c>
    </row>
    <row r="2" spans="1:22" ht="17">
      <c r="A2" t="s">
        <v>1097</v>
      </c>
      <c r="B2">
        <v>2.243E-4</v>
      </c>
      <c r="G2" s="298" t="s">
        <v>202</v>
      </c>
      <c r="H2" s="627">
        <f>'Clés de répartition'!F93</f>
        <v>12.304121519511266</v>
      </c>
      <c r="I2" s="627">
        <f>'Clés de répartition'!B93</f>
        <v>18.578494294073803</v>
      </c>
      <c r="J2" s="627">
        <f>'Clés de répartition'!J93</f>
        <v>31.44840950485942</v>
      </c>
      <c r="K2" s="20">
        <f>H2/(I2/60)</f>
        <v>39.736658928606673</v>
      </c>
      <c r="L2" s="20">
        <f>H2/(J2/60)</f>
        <v>23.474868929590912</v>
      </c>
      <c r="M2" s="20">
        <f>'Clés de répartition'!D93</f>
        <v>20.272734534760257</v>
      </c>
      <c r="N2" s="20">
        <f t="shared" ref="N2:N17" si="0">($B$2*K2^2+$B$3*K2+$B$4)/(K2+$B$5)*H2*2</f>
        <v>2.4436936398738904</v>
      </c>
      <c r="O2" s="20">
        <f t="shared" ref="O2:O17" si="1">($B$8*K2^2+$B$9*K2+$B$10)/(K2+$B$11)*H2*2</f>
        <v>2.7152797229259216</v>
      </c>
      <c r="P2" s="20">
        <f t="shared" ref="P2:P17" si="2">($B$14*K2^2+$B$15*K2+$B$16)/(K2+$B$17)*H2*2</f>
        <v>7.1812678950774744</v>
      </c>
      <c r="Q2" s="20">
        <f t="shared" ref="Q2:Q17" si="3">($B$2*L2^2+$B$3*L2+$B$4)/(L2+$B$5)*H2*2</f>
        <v>3.2578948880779666</v>
      </c>
      <c r="R2" s="20">
        <f t="shared" ref="R2:R17" si="4">($B$8*L2^2+$B$9*L2+$B$10)/(L2+$B$11)*H2*2</f>
        <v>3.6125776328248573</v>
      </c>
      <c r="S2" s="20">
        <f t="shared" ref="S2:S17" si="5">($B$14*L2^2+$B$15*L2+$B$16)/(L2+$B$17)*H2*2</f>
        <v>8.3234955316097938</v>
      </c>
      <c r="T2">
        <f>($B$20+$B$21+IF(J2&gt;30, ($B$22*(J2-30)+$B$23)*2*'Privé - Temps'!$B$11,0))*1.15</f>
        <v>1590.9924128529583</v>
      </c>
      <c r="U2">
        <f>($B$27+$B$28+IF(M2&gt;45, $B$29*(M2-45),0)*2*'Privé - Temps'!$B$11)*1.15</f>
        <v>249.54999999999998</v>
      </c>
      <c r="V2">
        <f>($B$33*K2^2+$B$34*K2+$B$35)/(K2+$B$36)*H2*2</f>
        <v>2.656193766782931</v>
      </c>
    </row>
    <row r="3" spans="1:22">
      <c r="A3" t="s">
        <v>1098</v>
      </c>
      <c r="B3">
        <v>3.6450000000000003E-2</v>
      </c>
      <c r="G3" s="347" t="e" vm="1">
        <v>#VALUE!</v>
      </c>
      <c r="H3" s="627">
        <f>'Clés de répartition'!F94</f>
        <v>15.5740332135399</v>
      </c>
      <c r="I3" s="627">
        <f>'Clés de répartition'!B94</f>
        <v>15.879162222959099</v>
      </c>
      <c r="J3" s="627">
        <f>'Clés de répartition'!J94</f>
        <v>22.811613984459701</v>
      </c>
      <c r="K3" s="20">
        <f t="shared" ref="K3:K37" si="6">H3/(I3/60)</f>
        <v>58.847058786345706</v>
      </c>
      <c r="L3" s="20">
        <f t="shared" ref="L3:L37" si="7">H3/(J3/60)</f>
        <v>40.96343176107478</v>
      </c>
      <c r="M3" s="20">
        <f>'Clés de répartition'!D94</f>
        <v>11.652302531259499</v>
      </c>
      <c r="N3" s="20">
        <f t="shared" si="0"/>
        <v>2.6841322269023657</v>
      </c>
      <c r="O3" s="20">
        <f t="shared" si="1"/>
        <v>2.9887929058692007</v>
      </c>
      <c r="P3" s="20">
        <f t="shared" si="2"/>
        <v>8.5120818779787673</v>
      </c>
      <c r="Q3" s="20">
        <f t="shared" si="3"/>
        <v>3.0518293584772107</v>
      </c>
      <c r="R3" s="20">
        <f t="shared" si="4"/>
        <v>3.3914867346200741</v>
      </c>
      <c r="S3" s="20">
        <f t="shared" si="5"/>
        <v>9.03162717644868</v>
      </c>
      <c r="T3">
        <f>($B$20+$B$21+IF(J3&gt;30, ($B$22*(J3-30)+$B$23)*2*'Privé - Temps'!$B$11,0))*1.15</f>
        <v>667</v>
      </c>
      <c r="U3">
        <f>($B$27+$B$28+IF(M3&gt;45, $B$29*(M3-45),0)*2*'Privé - Temps'!$B$11)*1.15</f>
        <v>249.54999999999998</v>
      </c>
      <c r="V3">
        <f t="shared" ref="V3:V37" si="8">($B$33*K3^2+$B$34*K3+$B$35)/(K3+$B$36)*H3*2</f>
        <v>2.9154946687654295</v>
      </c>
    </row>
    <row r="4" spans="1:22">
      <c r="A4" t="s">
        <v>1099</v>
      </c>
      <c r="B4">
        <v>2.1880000000000002</v>
      </c>
      <c r="G4" s="347" t="e" vm="2">
        <v>#VALUE!</v>
      </c>
      <c r="H4" s="627">
        <f>'Clés de répartition'!F95</f>
        <v>17.375485000019701</v>
      </c>
      <c r="I4" s="627">
        <f>'Clés de répartition'!B95</f>
        <v>18.7245377123044</v>
      </c>
      <c r="J4" s="627">
        <f>'Clés de répartition'!J95</f>
        <v>29.5853865230583</v>
      </c>
      <c r="K4" s="20">
        <f t="shared" si="6"/>
        <v>55.677160954211864</v>
      </c>
      <c r="L4" s="20">
        <f t="shared" si="7"/>
        <v>35.237974639562488</v>
      </c>
      <c r="M4" s="20">
        <f>'Clés de répartition'!D95</f>
        <v>18.3815042624366</v>
      </c>
      <c r="N4" s="20">
        <f t="shared" si="0"/>
        <v>3.0417803274707369</v>
      </c>
      <c r="O4" s="20">
        <f t="shared" si="1"/>
        <v>3.3858868938445568</v>
      </c>
      <c r="P4" s="20">
        <f t="shared" si="2"/>
        <v>9.5636934063592385</v>
      </c>
      <c r="Q4" s="20">
        <f t="shared" si="3"/>
        <v>3.6525809113798897</v>
      </c>
      <c r="R4" s="20">
        <f t="shared" si="4"/>
        <v>4.0563559497209161</v>
      </c>
      <c r="S4" s="20">
        <f t="shared" si="5"/>
        <v>10.424688505672885</v>
      </c>
      <c r="T4">
        <f>($B$20+$B$21+IF(J4&gt;30, ($B$22*(J4-30)+$B$23)*2*'Privé - Temps'!$B$11,0))*1.15</f>
        <v>667</v>
      </c>
      <c r="U4">
        <f>($B$27+$B$28+IF(M4&gt;45, $B$29*(M4-45),0)*2*'Privé - Temps'!$B$11)*1.15</f>
        <v>249.54999999999998</v>
      </c>
      <c r="V4">
        <f t="shared" si="8"/>
        <v>3.3044398382170148</v>
      </c>
    </row>
    <row r="5" spans="1:22">
      <c r="A5" t="s">
        <v>1100</v>
      </c>
      <c r="B5">
        <v>0.44879999999999998</v>
      </c>
      <c r="G5" s="347" t="e" vm="3">
        <v>#VALUE!</v>
      </c>
      <c r="H5" s="627">
        <f>'Clés de répartition'!F96</f>
        <v>9.1147331994502796</v>
      </c>
      <c r="I5" s="627">
        <f>'Clés de répartition'!B96</f>
        <v>17.591916614923399</v>
      </c>
      <c r="J5" s="627">
        <f>'Clés de répartition'!J96</f>
        <v>30.994028434131</v>
      </c>
      <c r="K5" s="20">
        <f t="shared" si="6"/>
        <v>31.087231933733115</v>
      </c>
      <c r="L5" s="20">
        <f t="shared" si="7"/>
        <v>17.644818037424962</v>
      </c>
      <c r="M5" s="20">
        <f>'Clés de répartition'!D96</f>
        <v>20.054565372465099</v>
      </c>
      <c r="N5" s="20">
        <f t="shared" si="0"/>
        <v>2.0450882768087264</v>
      </c>
      <c r="O5" s="20">
        <f t="shared" si="1"/>
        <v>2.270008811608331</v>
      </c>
      <c r="P5" s="20">
        <f t="shared" si="2"/>
        <v>5.6496888114072856</v>
      </c>
      <c r="Q5" s="20">
        <f t="shared" si="3"/>
        <v>2.9227679384722065</v>
      </c>
      <c r="R5" s="20">
        <f t="shared" si="4"/>
        <v>3.2380273576639427</v>
      </c>
      <c r="S5" s="20">
        <f t="shared" si="5"/>
        <v>6.8787325849604084</v>
      </c>
      <c r="T5">
        <f>($B$20+$B$21+IF(J5&gt;30, ($B$22*(J5-30)+$B$23)*2*'Privé - Temps'!$B$11,0))*1.15</f>
        <v>1499.5482223688637</v>
      </c>
      <c r="U5">
        <f>($B$27+$B$28+IF(M5&gt;45, $B$29*(M5-45),0)*2*'Privé - Temps'!$B$11)*1.15</f>
        <v>249.54999999999998</v>
      </c>
      <c r="V5">
        <f t="shared" si="8"/>
        <v>2.2232289074362948</v>
      </c>
    </row>
    <row r="6" spans="1:22">
      <c r="G6" s="347" t="e" vm="4">
        <v>#VALUE!</v>
      </c>
      <c r="H6" s="627">
        <f>'Clés de répartition'!F97</f>
        <v>15.035326110046899</v>
      </c>
      <c r="I6" s="627">
        <f>'Clés de répartition'!B97</f>
        <v>19.098903188325</v>
      </c>
      <c r="J6" s="627">
        <f>'Clés de répartition'!J97</f>
        <v>32.533615969837697</v>
      </c>
      <c r="K6" s="20">
        <f t="shared" si="6"/>
        <v>47.234103325591597</v>
      </c>
      <c r="L6" s="20">
        <f t="shared" si="7"/>
        <v>27.728844141984702</v>
      </c>
      <c r="M6" s="20">
        <f>'Clés de répartition'!D97</f>
        <v>42.768487903225797</v>
      </c>
      <c r="N6" s="20">
        <f t="shared" si="0"/>
        <v>2.7811830449552271</v>
      </c>
      <c r="O6" s="20">
        <f t="shared" si="1"/>
        <v>3.0929323414447842</v>
      </c>
      <c r="P6" s="20">
        <f t="shared" si="2"/>
        <v>8.4865439463266874</v>
      </c>
      <c r="Q6" s="20">
        <f t="shared" si="3"/>
        <v>3.5976579339082755</v>
      </c>
      <c r="R6" s="20">
        <f t="shared" si="4"/>
        <v>3.9916244274239334</v>
      </c>
      <c r="S6" s="20">
        <f t="shared" si="5"/>
        <v>9.6338968825054341</v>
      </c>
      <c r="T6">
        <f>($B$20+$B$21+IF(J6&gt;30, ($B$22*(J6-30)+$B$23)*2*'Privé - Temps'!$B$11,0))*1.15</f>
        <v>1809.3902139298366</v>
      </c>
      <c r="U6">
        <f>($B$27+$B$28+IF(M6&gt;45, $B$29*(M6-45),0)*2*'Privé - Temps'!$B$11)*1.15</f>
        <v>249.54999999999998</v>
      </c>
      <c r="V6">
        <f t="shared" si="8"/>
        <v>3.0223513608072947</v>
      </c>
    </row>
    <row r="7" spans="1:22">
      <c r="A7" t="s">
        <v>1123</v>
      </c>
      <c r="B7" t="s">
        <v>1101</v>
      </c>
      <c r="G7" s="347" t="e" vm="5">
        <v>#VALUE!</v>
      </c>
      <c r="H7" s="627">
        <f>'Clés de répartition'!F98</f>
        <v>13.5676362906911</v>
      </c>
      <c r="I7" s="627">
        <f>'Clés de répartition'!B98</f>
        <v>15.906546648819599</v>
      </c>
      <c r="J7" s="627">
        <f>'Clés de répartition'!J98</f>
        <v>25.0962541874013</v>
      </c>
      <c r="K7" s="20">
        <f t="shared" si="6"/>
        <v>51.177555720548305</v>
      </c>
      <c r="L7" s="20">
        <f t="shared" si="7"/>
        <v>32.437437530025321</v>
      </c>
      <c r="M7" s="20">
        <f>'Clés de répartition'!D98</f>
        <v>25.136088638761901</v>
      </c>
      <c r="N7" s="20">
        <f t="shared" si="0"/>
        <v>2.4392960292195558</v>
      </c>
      <c r="O7" s="20">
        <f t="shared" si="1"/>
        <v>2.7139134899738981</v>
      </c>
      <c r="P7" s="20">
        <f t="shared" si="2"/>
        <v>7.5586440386422948</v>
      </c>
      <c r="Q7" s="20">
        <f t="shared" si="3"/>
        <v>2.9756914633745581</v>
      </c>
      <c r="R7" s="20">
        <f t="shared" si="4"/>
        <v>3.3035134664529235</v>
      </c>
      <c r="S7" s="20">
        <f t="shared" si="5"/>
        <v>8.3136446415246468</v>
      </c>
      <c r="T7">
        <f>($B$20+$B$21+IF(J7&gt;30, ($B$22*(J7-30)+$B$23)*2*'Privé - Temps'!$B$11,0))*1.15</f>
        <v>667</v>
      </c>
      <c r="U7">
        <f>($B$27+$B$28+IF(M7&gt;45, $B$29*(M7-45),0)*2*'Privé - Temps'!$B$11)*1.15</f>
        <v>249.54999999999998</v>
      </c>
      <c r="V7">
        <f t="shared" si="8"/>
        <v>2.6504270167453297</v>
      </c>
    </row>
    <row r="8" spans="1:22">
      <c r="A8" t="s">
        <v>1097</v>
      </c>
      <c r="B8">
        <v>2.5609999999999999E-4</v>
      </c>
      <c r="G8" s="347" t="e" vm="6">
        <v>#VALUE!</v>
      </c>
      <c r="H8" s="627">
        <f>'Clés de répartition'!F99</f>
        <v>7.76377315957959</v>
      </c>
      <c r="I8" s="627">
        <f>'Clés de répartition'!B99</f>
        <v>13.9889088199581</v>
      </c>
      <c r="J8" s="627">
        <f>'Clés de répartition'!J99</f>
        <v>23.958632299370802</v>
      </c>
      <c r="K8" s="20">
        <f t="shared" si="6"/>
        <v>33.299694462957454</v>
      </c>
      <c r="L8" s="20">
        <f t="shared" si="7"/>
        <v>19.442945814023318</v>
      </c>
      <c r="M8" s="20">
        <f>'Clés de répartition'!D99</f>
        <v>29.319636385241498</v>
      </c>
      <c r="N8" s="20">
        <f t="shared" si="0"/>
        <v>1.6795772702973288</v>
      </c>
      <c r="O8" s="20">
        <f t="shared" si="1"/>
        <v>1.8648079753513467</v>
      </c>
      <c r="P8" s="20">
        <f t="shared" si="2"/>
        <v>4.7247325267515308</v>
      </c>
      <c r="Q8" s="20">
        <f t="shared" si="3"/>
        <v>2.3273562450784486</v>
      </c>
      <c r="R8" s="20">
        <f t="shared" si="4"/>
        <v>2.5791712832243494</v>
      </c>
      <c r="S8" s="20">
        <f t="shared" si="5"/>
        <v>5.6322910158026751</v>
      </c>
      <c r="T8">
        <f>($B$20+$B$21+IF(J8&gt;30, ($B$22*(J8-30)+$B$23)*2*'Privé - Temps'!$B$11,0))*1.15</f>
        <v>667</v>
      </c>
      <c r="U8">
        <f>($B$27+$B$28+IF(M8&gt;45, $B$29*(M8-45),0)*2*'Privé - Temps'!$B$11)*1.15</f>
        <v>249.54999999999998</v>
      </c>
      <c r="V8">
        <f t="shared" si="8"/>
        <v>1.8258438015489156</v>
      </c>
    </row>
    <row r="9" spans="1:22">
      <c r="A9" t="s">
        <v>1098</v>
      </c>
      <c r="B9">
        <v>4.0430000000000001E-2</v>
      </c>
      <c r="G9" s="347" t="e" vm="7">
        <v>#VALUE!</v>
      </c>
      <c r="H9" s="627">
        <f>'Clés de répartition'!F100</f>
        <v>18.0668915198553</v>
      </c>
      <c r="I9" s="627">
        <f>'Clés de répartition'!B100</f>
        <v>20.019468440208101</v>
      </c>
      <c r="J9" s="627">
        <f>'Clés de répartition'!J100</f>
        <v>31.870659229185801</v>
      </c>
      <c r="K9" s="20">
        <f t="shared" si="6"/>
        <v>54.147965737897977</v>
      </c>
      <c r="L9" s="20">
        <f t="shared" si="7"/>
        <v>34.012898302355303</v>
      </c>
      <c r="M9" s="20">
        <f>'Clés de répartition'!D100</f>
        <v>4.3</v>
      </c>
      <c r="N9" s="20">
        <f t="shared" si="0"/>
        <v>3.1895852391226622</v>
      </c>
      <c r="O9" s="20">
        <f t="shared" si="1"/>
        <v>3.5498247462023831</v>
      </c>
      <c r="P9" s="20">
        <f t="shared" si="2"/>
        <v>9.9822104693397655</v>
      </c>
      <c r="Q9" s="20">
        <f t="shared" si="3"/>
        <v>3.8661637901267443</v>
      </c>
      <c r="R9" s="20">
        <f t="shared" si="4"/>
        <v>4.2929133741826524</v>
      </c>
      <c r="S9" s="20">
        <f t="shared" si="5"/>
        <v>10.935358003291954</v>
      </c>
      <c r="T9">
        <f>($B$20+$B$21+IF(J9&gt;30, ($B$22*(J9-30)+$B$23)*2*'Privé - Temps'!$B$11,0))*1.15</f>
        <v>1675.9701698736424</v>
      </c>
      <c r="U9">
        <f>($B$27+$B$28+IF(M9&gt;45, $B$29*(M9-45),0)*2*'Privé - Temps'!$B$11)*1.15</f>
        <v>249.54999999999998</v>
      </c>
      <c r="V9">
        <f t="shared" si="8"/>
        <v>3.4652353669432969</v>
      </c>
    </row>
    <row r="10" spans="1:22">
      <c r="A10" t="s">
        <v>1099</v>
      </c>
      <c r="B10">
        <v>2.427</v>
      </c>
      <c r="G10" s="347" t="e" vm="8">
        <v>#VALUE!</v>
      </c>
      <c r="H10" s="627">
        <f>'Clés de répartition'!F101</f>
        <v>12.098702165712405</v>
      </c>
      <c r="I10" s="627">
        <f>'Clés de répartition'!B101</f>
        <v>18.75926045005151</v>
      </c>
      <c r="J10" s="627">
        <f>'Clés de répartition'!J101</f>
        <v>31.940462420488736</v>
      </c>
      <c r="K10" s="20">
        <f t="shared" si="6"/>
        <v>38.696734973939286</v>
      </c>
      <c r="L10" s="20">
        <f t="shared" si="7"/>
        <v>22.727351920775249</v>
      </c>
      <c r="M10" s="20">
        <f>'Clés de répartition'!D101</f>
        <v>20.183773231005418</v>
      </c>
      <c r="N10" s="20">
        <f t="shared" si="0"/>
        <v>2.431990524353886</v>
      </c>
      <c r="O10" s="20">
        <f t="shared" si="1"/>
        <v>2.7019464904436843</v>
      </c>
      <c r="P10" s="20">
        <f t="shared" si="2"/>
        <v>7.1023053189627579</v>
      </c>
      <c r="Q10" s="20">
        <f t="shared" si="3"/>
        <v>3.2702930719018855</v>
      </c>
      <c r="R10" s="20">
        <f t="shared" si="4"/>
        <v>3.6259390293736748</v>
      </c>
      <c r="S10" s="20">
        <f t="shared" si="5"/>
        <v>8.2780603136184023</v>
      </c>
      <c r="T10">
        <f>($B$20+$B$21+IF(J10&gt;30, ($B$22*(J10-30)+$B$23)*2*'Privé - Temps'!$B$11,0))*1.15</f>
        <v>1690.018062123358</v>
      </c>
      <c r="U10">
        <f>($B$27+$B$28+IF(M10&gt;45, $B$29*(M10-45),0)*2*'Privé - Temps'!$B$11)*1.15</f>
        <v>249.54999999999998</v>
      </c>
      <c r="V10">
        <f t="shared" si="8"/>
        <v>2.6435370115848129</v>
      </c>
    </row>
    <row r="11" spans="1:22">
      <c r="A11" t="s">
        <v>1100</v>
      </c>
      <c r="B11">
        <v>0.48380000000000001</v>
      </c>
      <c r="G11" s="347" t="e" vm="9">
        <v>#VALUE!</v>
      </c>
      <c r="H11" s="627">
        <f>'Clés de répartition'!F102</f>
        <v>14.0550573946238</v>
      </c>
      <c r="I11" s="627">
        <f>'Clés de répartition'!B102</f>
        <v>20.5527038132923</v>
      </c>
      <c r="J11" s="627">
        <f>'Clés de répartition'!J102</f>
        <v>34.812199405965998</v>
      </c>
      <c r="K11" s="20">
        <f t="shared" si="6"/>
        <v>41.031265342909677</v>
      </c>
      <c r="L11" s="20">
        <f t="shared" si="7"/>
        <v>24.224365540457796</v>
      </c>
      <c r="M11" s="20">
        <f>'Clés de répartition'!D102</f>
        <v>32.432267244884102</v>
      </c>
      <c r="N11" s="20">
        <f t="shared" si="0"/>
        <v>2.7521935673354516</v>
      </c>
      <c r="O11" s="20">
        <f t="shared" si="1"/>
        <v>3.0585266609648514</v>
      </c>
      <c r="P11" s="20">
        <f t="shared" si="2"/>
        <v>8.1479577047657319</v>
      </c>
      <c r="Q11" s="20">
        <f t="shared" si="3"/>
        <v>3.6487213105638494</v>
      </c>
      <c r="R11" s="20">
        <f t="shared" si="4"/>
        <v>4.0463773497095028</v>
      </c>
      <c r="S11" s="20">
        <f t="shared" si="5"/>
        <v>9.4060242181617717</v>
      </c>
      <c r="T11">
        <f>($B$20+$B$21+IF(J11&gt;30, ($B$22*(J11-30)+$B$23)*2*'Privé - Temps'!$B$11,0))*1.15</f>
        <v>2267.9551304506567</v>
      </c>
      <c r="U11">
        <f>($B$27+$B$28+IF(M11&gt;45, $B$29*(M11-45),0)*2*'Privé - Temps'!$B$11)*1.15</f>
        <v>249.54999999999998</v>
      </c>
      <c r="V11">
        <f t="shared" si="8"/>
        <v>2.9914224413793482</v>
      </c>
    </row>
    <row r="12" spans="1:22">
      <c r="G12" s="347" t="e" vm="10">
        <v>#VALUE!</v>
      </c>
      <c r="H12" s="627">
        <f>'Clés de répartition'!F103</f>
        <v>12.369979113527201</v>
      </c>
      <c r="I12" s="627">
        <f>'Clés de répartition'!B103</f>
        <v>20.3550705095262</v>
      </c>
      <c r="J12" s="627">
        <f>'Clés de répartition'!J103</f>
        <v>33.089639272226599</v>
      </c>
      <c r="K12" s="20">
        <f t="shared" si="6"/>
        <v>36.462597683672087</v>
      </c>
      <c r="L12" s="20">
        <f t="shared" si="7"/>
        <v>22.429943726663343</v>
      </c>
      <c r="M12" s="20">
        <f>'Clés de répartition'!D103</f>
        <v>27.901855022831</v>
      </c>
      <c r="N12" s="20">
        <f t="shared" si="0"/>
        <v>2.5571966063741516</v>
      </c>
      <c r="O12" s="20">
        <f t="shared" si="1"/>
        <v>2.8402990107991077</v>
      </c>
      <c r="P12" s="20">
        <f t="shared" si="2"/>
        <v>7.360920684052136</v>
      </c>
      <c r="Q12" s="20">
        <f t="shared" si="3"/>
        <v>3.3721044716091209</v>
      </c>
      <c r="R12" s="20">
        <f t="shared" si="4"/>
        <v>3.7386616652175819</v>
      </c>
      <c r="S12" s="20">
        <f t="shared" si="5"/>
        <v>8.5035542270899658</v>
      </c>
      <c r="T12">
        <f>($B$20+$B$21+IF(J12&gt;30, ($B$22*(J12-30)+$B$23)*2*'Privé - Temps'!$B$11,0))*1.15</f>
        <v>1921.2899035356029</v>
      </c>
      <c r="U12">
        <f>($B$27+$B$28+IF(M12&gt;45, $B$29*(M12-45),0)*2*'Privé - Temps'!$B$11)*1.15</f>
        <v>249.54999999999998</v>
      </c>
      <c r="V12">
        <f t="shared" si="8"/>
        <v>2.7797601928095341</v>
      </c>
    </row>
    <row r="13" spans="1:22">
      <c r="A13" t="s">
        <v>1102</v>
      </c>
      <c r="B13" t="s">
        <v>1101</v>
      </c>
      <c r="G13" s="347" t="e" vm="11">
        <v>#VALUE!</v>
      </c>
      <c r="H13" s="627">
        <f>'Clés de répartition'!F104</f>
        <v>9.9991732703748699</v>
      </c>
      <c r="I13" s="627">
        <f>'Clés de répartition'!B104</f>
        <v>15.6438063747441</v>
      </c>
      <c r="J13" s="627">
        <f>'Clés de répartition'!J104</f>
        <v>24.119899085209799</v>
      </c>
      <c r="K13" s="20">
        <f t="shared" si="6"/>
        <v>38.350666190235692</v>
      </c>
      <c r="L13" s="20">
        <f t="shared" si="7"/>
        <v>24.873669417231469</v>
      </c>
      <c r="M13" s="20">
        <f>'Clés de répartition'!D104</f>
        <v>26.3246963656592</v>
      </c>
      <c r="N13" s="20">
        <f t="shared" si="0"/>
        <v>2.0183022892474445</v>
      </c>
      <c r="O13" s="20">
        <f t="shared" si="1"/>
        <v>2.2422466464837671</v>
      </c>
      <c r="P13" s="20">
        <f t="shared" si="2"/>
        <v>5.881552475527549</v>
      </c>
      <c r="Q13" s="20">
        <f t="shared" si="3"/>
        <v>2.5535836673949994</v>
      </c>
      <c r="R13" s="20">
        <f t="shared" si="4"/>
        <v>2.8321394642241144</v>
      </c>
      <c r="S13" s="20">
        <f t="shared" si="5"/>
        <v>6.6325719427604959</v>
      </c>
      <c r="T13">
        <f>($B$20+$B$21+IF(J13&gt;30, ($B$22*(J13-30)+$B$23)*2*'Privé - Temps'!$B$11,0))*1.15</f>
        <v>667</v>
      </c>
      <c r="U13">
        <f>($B$27+$B$28+IF(M13&gt;45, $B$29*(M13-45),0)*2*'Privé - Temps'!$B$11)*1.15</f>
        <v>249.54999999999998</v>
      </c>
      <c r="V13">
        <f t="shared" si="8"/>
        <v>2.1938808919328605</v>
      </c>
    </row>
    <row r="14" spans="1:22">
      <c r="A14" t="s">
        <v>1097</v>
      </c>
      <c r="B14">
        <v>3.0489999999999998E-4</v>
      </c>
      <c r="G14" s="347" t="e" vm="12">
        <v>#VALUE!</v>
      </c>
      <c r="H14" s="627">
        <f>'Clés de répartition'!F105</f>
        <v>12.6024475595258</v>
      </c>
      <c r="I14" s="627">
        <f>'Clés de répartition'!B105</f>
        <v>15.2246086518041</v>
      </c>
      <c r="J14" s="627">
        <f>'Clés de répartition'!J105</f>
        <v>23.381810728443199</v>
      </c>
      <c r="K14" s="20">
        <f t="shared" si="6"/>
        <v>49.66609460151512</v>
      </c>
      <c r="L14" s="20">
        <f t="shared" si="7"/>
        <v>32.339105912431343</v>
      </c>
      <c r="M14" s="20">
        <f>'Clés de répartition'!D105</f>
        <v>19.636135980852799</v>
      </c>
      <c r="N14" s="20">
        <f t="shared" si="0"/>
        <v>2.2891990692353099</v>
      </c>
      <c r="O14" s="20">
        <f t="shared" si="1"/>
        <v>2.5464925650746157</v>
      </c>
      <c r="P14" s="20">
        <f t="shared" si="2"/>
        <v>7.0540633926870395</v>
      </c>
      <c r="Q14" s="20">
        <f t="shared" si="3"/>
        <v>2.7684393782130576</v>
      </c>
      <c r="R14" s="20">
        <f t="shared" si="4"/>
        <v>3.0733918685157851</v>
      </c>
      <c r="S14" s="20">
        <f t="shared" si="5"/>
        <v>7.7284462724811416</v>
      </c>
      <c r="T14">
        <f>($B$20+$B$21+IF(J14&gt;30, ($B$22*(J14-30)+$B$23)*2*'Privé - Temps'!$B$11,0))*1.15</f>
        <v>667</v>
      </c>
      <c r="U14">
        <f>($B$27+$B$28+IF(M14&gt;45, $B$29*(M14-45),0)*2*'Privé - Temps'!$B$11)*1.15</f>
        <v>249.54999999999998</v>
      </c>
      <c r="V14">
        <f t="shared" si="8"/>
        <v>2.4874841734420206</v>
      </c>
    </row>
    <row r="15" spans="1:22">
      <c r="A15" t="s">
        <v>1098</v>
      </c>
      <c r="B15">
        <v>0.20419999999999999</v>
      </c>
      <c r="G15" s="347" t="e" vm="13">
        <v>#VALUE!</v>
      </c>
      <c r="H15" s="627">
        <f>'Clés de répartition'!F106</f>
        <v>18.846734390485601</v>
      </c>
      <c r="I15" s="627">
        <f>'Clés de répartition'!B106</f>
        <v>18.936042886746598</v>
      </c>
      <c r="J15" s="627">
        <f>'Clés de répartition'!J106</f>
        <v>26.835718533201199</v>
      </c>
      <c r="K15" s="20">
        <f t="shared" si="6"/>
        <v>59.717020614723566</v>
      </c>
      <c r="L15" s="20">
        <f t="shared" si="7"/>
        <v>42.138020714075658</v>
      </c>
      <c r="M15" s="20">
        <f>'Clés de répartition'!D106</f>
        <v>8.9</v>
      </c>
      <c r="N15" s="20">
        <f t="shared" si="0"/>
        <v>3.2355651646298709</v>
      </c>
      <c r="O15" s="20">
        <f t="shared" si="1"/>
        <v>3.6031479123661301</v>
      </c>
      <c r="P15" s="20">
        <f t="shared" si="2"/>
        <v>10.282856710754789</v>
      </c>
      <c r="Q15" s="20">
        <f t="shared" si="3"/>
        <v>3.6485477126490689</v>
      </c>
      <c r="R15" s="20">
        <f t="shared" si="4"/>
        <v>4.0551687357594588</v>
      </c>
      <c r="S15" s="20">
        <f t="shared" si="5"/>
        <v>10.86673704875153</v>
      </c>
      <c r="T15">
        <f>($B$20+$B$21+IF(J15&gt;30, ($B$22*(J15-30)+$B$23)*2*'Privé - Temps'!$B$11,0))*1.15</f>
        <v>667</v>
      </c>
      <c r="U15">
        <f>($B$27+$B$28+IF(M15&gt;45, $B$29*(M15-45),0)*2*'Privé - Temps'!$B$11)*1.15</f>
        <v>249.54999999999998</v>
      </c>
      <c r="V15">
        <f t="shared" si="8"/>
        <v>3.5143178066117762</v>
      </c>
    </row>
    <row r="16" spans="1:22">
      <c r="A16" t="s">
        <v>1099</v>
      </c>
      <c r="B16">
        <v>3.1379999999999999</v>
      </c>
      <c r="G16" s="347" t="e" vm="14">
        <v>#VALUE!</v>
      </c>
      <c r="H16" s="627">
        <f>'Clés de répartition'!F107</f>
        <v>25.412995031419001</v>
      </c>
      <c r="I16" s="627">
        <f>'Clés de répartition'!B107</f>
        <v>23.349024550635701</v>
      </c>
      <c r="J16" s="627">
        <f>'Clés de répartition'!J107</f>
        <v>33.2380589653661</v>
      </c>
      <c r="K16" s="20">
        <f t="shared" si="6"/>
        <v>65.303785970948681</v>
      </c>
      <c r="L16" s="20">
        <f t="shared" si="7"/>
        <v>45.874511007816473</v>
      </c>
      <c r="M16" s="20">
        <f>'Clés de répartition'!D107</f>
        <v>52.962045209903103</v>
      </c>
      <c r="N16" s="20">
        <f t="shared" si="0"/>
        <v>4.2706601978198311</v>
      </c>
      <c r="O16" s="20">
        <f t="shared" si="1"/>
        <v>4.7586060419243683</v>
      </c>
      <c r="P16" s="20">
        <f t="shared" si="2"/>
        <v>13.733839057741925</v>
      </c>
      <c r="Q16" s="20">
        <f t="shared" si="3"/>
        <v>4.7532495227252465</v>
      </c>
      <c r="R16" s="20">
        <f t="shared" si="4"/>
        <v>5.2852419600146714</v>
      </c>
      <c r="S16" s="20">
        <f t="shared" si="5"/>
        <v>14.418119732973386</v>
      </c>
      <c r="T16">
        <f>($B$20+$B$21+IF(J16&gt;30, ($B$22*(J16-30)+$B$23)*2*'Privé - Temps'!$B$11,0))*1.15</f>
        <v>1951.1593667799275</v>
      </c>
      <c r="U16">
        <f>($B$27+$B$28+IF(M16&gt;45, $B$29*(M16-45),0)*2*'Privé - Temps'!$B$11)*1.15</f>
        <v>1027.8399192680283</v>
      </c>
      <c r="V16">
        <f t="shared" si="8"/>
        <v>4.6373415488930263</v>
      </c>
    </row>
    <row r="17" spans="1:22">
      <c r="A17" t="s">
        <v>1100</v>
      </c>
      <c r="B17">
        <v>0.47139999999999999</v>
      </c>
      <c r="G17" s="347" t="e" vm="15">
        <v>#VALUE!</v>
      </c>
      <c r="H17" s="627">
        <f>'Clés de répartition'!F108</f>
        <v>7.7584854427035301</v>
      </c>
      <c r="I17" s="627">
        <f>'Clés de répartition'!B108</f>
        <v>14.580850454259</v>
      </c>
      <c r="J17" s="627">
        <f>'Clés de répartition'!J108</f>
        <v>24.834486913394802</v>
      </c>
      <c r="K17" s="20">
        <f t="shared" si="6"/>
        <v>31.926061379104173</v>
      </c>
      <c r="L17" s="20">
        <f t="shared" si="7"/>
        <v>18.74446322106753</v>
      </c>
      <c r="M17" s="20">
        <f>'Clés de répartition'!D108</f>
        <v>14.743578977552</v>
      </c>
      <c r="N17" s="20">
        <f t="shared" si="0"/>
        <v>1.7160179950115004</v>
      </c>
      <c r="O17" s="20">
        <f t="shared" si="1"/>
        <v>1.9049456925564299</v>
      </c>
      <c r="P17" s="20">
        <f t="shared" si="2"/>
        <v>4.7742746654047616</v>
      </c>
      <c r="Q17" s="20">
        <f t="shared" si="3"/>
        <v>2.3849907891041231</v>
      </c>
      <c r="R17" s="20">
        <f t="shared" si="4"/>
        <v>2.6427398000028486</v>
      </c>
      <c r="S17" s="20">
        <f t="shared" si="5"/>
        <v>5.7113029876528358</v>
      </c>
      <c r="T17">
        <f>($B$20+$B$21+IF(J17&gt;30, ($B$22*(J17-30)+$B$23)*2*'Privé - Temps'!$B$11,0))*1.15</f>
        <v>667</v>
      </c>
      <c r="U17">
        <f>($B$27+$B$28+IF(M17&gt;45, $B$29*(M17-45),0)*2*'Privé - Temps'!$B$11)*1.15</f>
        <v>249.54999999999998</v>
      </c>
      <c r="V17">
        <f t="shared" si="8"/>
        <v>1.8654831857777217</v>
      </c>
    </row>
    <row r="18" spans="1:22">
      <c r="G18" s="107" t="s">
        <v>585</v>
      </c>
      <c r="H18" s="627"/>
      <c r="I18" s="627"/>
      <c r="J18" s="627"/>
    </row>
    <row r="19" spans="1:22" ht="17">
      <c r="A19" t="s">
        <v>1111</v>
      </c>
      <c r="G19" s="66" t="e" vm="16">
        <v>#VALUE!</v>
      </c>
      <c r="H19" s="627">
        <f>'Clés de répartition'!F110</f>
        <v>11.199259146373</v>
      </c>
      <c r="I19" s="627">
        <f>'Clés de répartition'!B110</f>
        <v>18.680937512124</v>
      </c>
      <c r="J19" s="627">
        <f>'Clés de répartition'!J110</f>
        <v>31.549778815711498</v>
      </c>
      <c r="K19" s="20">
        <f t="shared" si="6"/>
        <v>35.970119184129722</v>
      </c>
      <c r="L19" s="20">
        <f t="shared" si="7"/>
        <v>21.298264964309428</v>
      </c>
      <c r="M19" s="20">
        <f>'Clés de répartition'!D110</f>
        <v>25.065600293558401</v>
      </c>
      <c r="N19" s="20">
        <f t="shared" ref="N19:N37" si="9">($B$2*K19^2+$B$3*K19+$B$4)/(K19+$B$5)*H19*2</f>
        <v>2.3305244619512804</v>
      </c>
      <c r="O19" s="20">
        <f t="shared" ref="O19:O37" si="10">($B$8*K19^2+$B$9*K19+$B$10)/(K19+$B$11)*H19*2</f>
        <v>2.5883800660209055</v>
      </c>
      <c r="P19" s="20">
        <f t="shared" ref="P19:P37" si="11">($B$14*K19^2+$B$15*K19+$B$16)/(K19+$B$17)*H19*2</f>
        <v>6.6858345148163538</v>
      </c>
      <c r="Q19" s="20">
        <f t="shared" ref="Q19:Q37" si="12">($B$2*L19^2+$B$3*L19+$B$4)/(L19+$B$5)*H19*2</f>
        <v>3.1579147287952329</v>
      </c>
      <c r="R19" s="20">
        <f t="shared" ref="R19:R37" si="13">($B$8*L19^2+$B$9*L19+$B$10)/(L19+$B$11)*H19*2</f>
        <v>3.5006037542265416</v>
      </c>
      <c r="S19" s="20">
        <f t="shared" ref="S19:S37" si="14">($B$14*L19^2+$B$15*L19+$B$16)/(L19+$B$17)*H19*2</f>
        <v>7.8456861181841901</v>
      </c>
      <c r="T19">
        <f>($B$20+$B$21+IF(J19&gt;30, ($B$22*(J19-30)+$B$23)*2*'Privé - Temps'!$B$11,0))*1.15</f>
        <v>1611.3929866619389</v>
      </c>
      <c r="U19">
        <f>($B$27+$B$28+IF(M19&gt;45, $B$29*(M19-45),0)*2*'Privé - Temps'!$B$11)*1.15</f>
        <v>249.54999999999998</v>
      </c>
      <c r="V19">
        <f t="shared" si="8"/>
        <v>2.5333818505809096</v>
      </c>
    </row>
    <row r="20" spans="1:22" ht="17">
      <c r="A20" t="s">
        <v>1112</v>
      </c>
      <c r="B20">
        <v>40</v>
      </c>
      <c r="G20" s="66" t="e" vm="17">
        <v>#VALUE!</v>
      </c>
      <c r="H20" s="627">
        <f>'Clés de répartition'!F111</f>
        <v>12.7484946380828</v>
      </c>
      <c r="I20" s="627">
        <f>'Clés de répartition'!B111</f>
        <v>19.097289971195298</v>
      </c>
      <c r="J20" s="627">
        <f>'Clés de répartition'!J111</f>
        <v>35.467672663795902</v>
      </c>
      <c r="K20" s="20">
        <f t="shared" si="6"/>
        <v>40.053310152314367</v>
      </c>
      <c r="L20" s="20">
        <f t="shared" si="7"/>
        <v>21.566390485659344</v>
      </c>
      <c r="M20" s="20">
        <f>'Clés de répartition'!D111</f>
        <v>34.676662617673799</v>
      </c>
      <c r="N20" s="20">
        <f t="shared" si="9"/>
        <v>2.5229878946478133</v>
      </c>
      <c r="O20" s="20">
        <f t="shared" si="10"/>
        <v>2.8034902137778599</v>
      </c>
      <c r="P20" s="20">
        <f t="shared" si="11"/>
        <v>7.4280148154820109</v>
      </c>
      <c r="Q20" s="20">
        <f t="shared" si="12"/>
        <v>3.5652843615507379</v>
      </c>
      <c r="R20" s="20">
        <f t="shared" si="13"/>
        <v>3.9523387299116517</v>
      </c>
      <c r="S20" s="20">
        <f t="shared" si="14"/>
        <v>8.8897486970971151</v>
      </c>
      <c r="T20">
        <f>($B$20+$B$21+IF(J20&gt;30, ($B$22*(J20-30)+$B$23)*2*'Privé - Temps'!$B$11,0))*1.15</f>
        <v>2399.8691235889255</v>
      </c>
      <c r="U20">
        <f>($B$27+$B$28+IF(M20&gt;45, $B$29*(M20-45),0)*2*'Privé - Temps'!$B$11)*1.15</f>
        <v>249.54999999999998</v>
      </c>
      <c r="V20">
        <f t="shared" si="8"/>
        <v>2.742362082843699</v>
      </c>
    </row>
    <row r="21" spans="1:22">
      <c r="A21" t="s">
        <v>1113</v>
      </c>
      <c r="B21">
        <f>45*12</f>
        <v>540</v>
      </c>
      <c r="G21" s="87" t="e" vm="18">
        <v>#VALUE!</v>
      </c>
      <c r="H21" s="627">
        <f>'Clés de répartition'!F112</f>
        <v>9.5440550448648604</v>
      </c>
      <c r="I21" s="627">
        <f>'Clés de répartition'!B112</f>
        <v>16.0456789914094</v>
      </c>
      <c r="J21" s="627">
        <f>'Clés de répartition'!J112</f>
        <v>26.4595319823168</v>
      </c>
      <c r="K21" s="20">
        <f t="shared" si="6"/>
        <v>35.688318518554169</v>
      </c>
      <c r="L21" s="20">
        <f t="shared" si="7"/>
        <v>21.642230976518992</v>
      </c>
      <c r="M21" s="20">
        <f>'Clés de répartition'!D112</f>
        <v>21.924129064033799</v>
      </c>
      <c r="N21" s="20">
        <f t="shared" si="9"/>
        <v>1.9937521687870647</v>
      </c>
      <c r="O21" s="20">
        <f t="shared" si="10"/>
        <v>2.2142715835507212</v>
      </c>
      <c r="P21" s="20">
        <f t="shared" si="11"/>
        <v>5.7084727620238676</v>
      </c>
      <c r="Q21" s="20">
        <f t="shared" si="12"/>
        <v>2.6629810320501979</v>
      </c>
      <c r="R21" s="20">
        <f t="shared" si="13"/>
        <v>2.9521128802647074</v>
      </c>
      <c r="S21" s="20">
        <f t="shared" si="14"/>
        <v>6.6466423843390974</v>
      </c>
      <c r="T21">
        <f>($B$20+$B$21+IF(J21&gt;30, ($B$22*(J21-30)+$B$23)*2*'Privé - Temps'!$B$11,0))*1.15</f>
        <v>667</v>
      </c>
      <c r="U21">
        <f>($B$27+$B$28+IF(M21&gt;45, $B$29*(M21-45),0)*2*'Privé - Temps'!$B$11)*1.15</f>
        <v>249.54999999999998</v>
      </c>
      <c r="V21">
        <f t="shared" si="8"/>
        <v>2.1673059709822717</v>
      </c>
    </row>
    <row r="22" spans="1:22">
      <c r="A22" t="s">
        <v>1115</v>
      </c>
      <c r="B22">
        <v>0.35</v>
      </c>
      <c r="G22" s="63" t="e" vm="19">
        <v>#VALUE!</v>
      </c>
      <c r="H22" s="627">
        <f>'Clés de répartition'!F113</f>
        <v>17.853007202827399</v>
      </c>
      <c r="I22" s="627">
        <f>'Clés de répartition'!B113</f>
        <v>22.338950889609599</v>
      </c>
      <c r="J22" s="627">
        <f>'Clés de répartition'!J113</f>
        <v>35.7570491126287</v>
      </c>
      <c r="K22" s="20">
        <f t="shared" si="6"/>
        <v>47.951241643486334</v>
      </c>
      <c r="L22" s="20">
        <f t="shared" si="7"/>
        <v>29.957182115213293</v>
      </c>
      <c r="M22" s="20">
        <f>'Clés de répartition'!D113</f>
        <v>27.931528033244799</v>
      </c>
      <c r="N22" s="20">
        <f t="shared" si="9"/>
        <v>3.2840361507419558</v>
      </c>
      <c r="O22" s="20">
        <f t="shared" si="10"/>
        <v>3.6524452837281194</v>
      </c>
      <c r="P22" s="20">
        <f t="shared" si="11"/>
        <v>10.051046225075408</v>
      </c>
      <c r="Q22" s="20">
        <f t="shared" si="12"/>
        <v>4.0880433155108467</v>
      </c>
      <c r="R22" s="20">
        <f t="shared" si="13"/>
        <v>4.5370058458595066</v>
      </c>
      <c r="S22" s="20">
        <f t="shared" si="14"/>
        <v>11.181541823044689</v>
      </c>
      <c r="T22">
        <f>($B$20+$B$21+IF(J22&gt;30, ($B$22*(J22-30)+$B$23)*2*'Privé - Temps'!$B$11,0))*1.15</f>
        <v>2458.1061339165258</v>
      </c>
      <c r="U22">
        <f>($B$27+$B$28+IF(M22&gt;45, $B$29*(M22-45),0)*2*'Privé - Temps'!$B$11)*1.15</f>
        <v>249.54999999999998</v>
      </c>
      <c r="V22">
        <f t="shared" si="8"/>
        <v>3.5687180004302572</v>
      </c>
    </row>
    <row r="23" spans="1:22">
      <c r="A23" t="s">
        <v>1116</v>
      </c>
      <c r="B23">
        <v>1.1000000000000001</v>
      </c>
      <c r="G23" s="63" t="e" vm="20">
        <v>#VALUE!</v>
      </c>
      <c r="H23" s="627">
        <f>'Clés de répartition'!F114</f>
        <v>13.0915828566429</v>
      </c>
      <c r="I23" s="627">
        <f>'Clés de répartition'!B114</f>
        <v>19.018065070315298</v>
      </c>
      <c r="J23" s="627">
        <f>'Clés de répartition'!J114</f>
        <v>31.574796101030799</v>
      </c>
      <c r="K23" s="20">
        <f t="shared" si="6"/>
        <v>41.302570397901754</v>
      </c>
      <c r="L23" s="20">
        <f t="shared" si="7"/>
        <v>24.877277714959831</v>
      </c>
      <c r="M23" s="20">
        <f>'Clés de répartition'!D114</f>
        <v>28.9935673299554</v>
      </c>
      <c r="N23" s="20">
        <f t="shared" si="9"/>
        <v>2.5562162433424493</v>
      </c>
      <c r="O23" s="20">
        <f t="shared" si="10"/>
        <v>2.8408254309839878</v>
      </c>
      <c r="P23" s="20">
        <f t="shared" si="11"/>
        <v>7.5791176797489515</v>
      </c>
      <c r="Q23" s="20">
        <f t="shared" si="12"/>
        <v>3.3430228851179464</v>
      </c>
      <c r="R23" s="20">
        <f t="shared" si="13"/>
        <v>3.7076959092211985</v>
      </c>
      <c r="S23" s="20">
        <f t="shared" si="14"/>
        <v>8.6833859270364187</v>
      </c>
      <c r="T23">
        <f>($B$20+$B$21+IF(J23&gt;30, ($B$22*(J23-30)+$B$23)*2*'Privé - Temps'!$B$11,0))*1.15</f>
        <v>1616.4277153324481</v>
      </c>
      <c r="U23">
        <f>($B$27+$B$28+IF(M23&gt;45, $B$29*(M23-45),0)*2*'Privé - Temps'!$B$11)*1.15</f>
        <v>249.54999999999998</v>
      </c>
      <c r="V23">
        <f t="shared" si="8"/>
        <v>2.7783901432371567</v>
      </c>
    </row>
    <row r="24" spans="1:22" ht="17">
      <c r="G24" s="66" t="e" vm="21">
        <v>#VALUE!</v>
      </c>
      <c r="H24" s="627">
        <f>'Clés de répartition'!F115</f>
        <v>12.349142342935901</v>
      </c>
      <c r="I24" s="627">
        <f>'Clés de répartition'!B115</f>
        <v>16.1470056204932</v>
      </c>
      <c r="J24" s="627">
        <f>'Clés de répartition'!J115</f>
        <v>26.604761249135802</v>
      </c>
      <c r="K24" s="20">
        <f t="shared" si="6"/>
        <v>45.887674655650621</v>
      </c>
      <c r="L24" s="20">
        <f t="shared" si="7"/>
        <v>27.850223260327965</v>
      </c>
      <c r="M24" s="20">
        <f>'Clés de répartition'!D115</f>
        <v>25.716692310444799</v>
      </c>
      <c r="N24" s="20">
        <f t="shared" si="9"/>
        <v>2.3095289922497986</v>
      </c>
      <c r="O24" s="20">
        <f t="shared" si="10"/>
        <v>2.5680195536942705</v>
      </c>
      <c r="P24" s="20">
        <f t="shared" si="11"/>
        <v>7.0059524496682863</v>
      </c>
      <c r="Q24" s="20">
        <f t="shared" si="12"/>
        <v>2.9474148489205301</v>
      </c>
      <c r="R24" s="20">
        <f t="shared" si="13"/>
        <v>3.2702271886973762</v>
      </c>
      <c r="S24" s="20">
        <f t="shared" si="14"/>
        <v>7.9022190800602514</v>
      </c>
      <c r="T24">
        <f>($B$20+$B$21+IF(J24&gt;30, ($B$22*(J24-30)+$B$23)*2*'Privé - Temps'!$B$11,0))*1.15</f>
        <v>667</v>
      </c>
      <c r="U24">
        <f>($B$27+$B$28+IF(M24&gt;45, $B$29*(M24-45),0)*2*'Privé - Temps'!$B$11)*1.15</f>
        <v>249.54999999999998</v>
      </c>
      <c r="V24">
        <f t="shared" si="8"/>
        <v>2.5099140466635932</v>
      </c>
    </row>
    <row r="25" spans="1:22">
      <c r="G25" s="63" t="e" vm="22">
        <v>#VALUE!</v>
      </c>
      <c r="H25" s="627">
        <f>'Clés de répartition'!F116</f>
        <v>11.4980443142568</v>
      </c>
      <c r="I25" s="627">
        <f>'Clés de répartition'!B116</f>
        <v>18.920830050360699</v>
      </c>
      <c r="J25" s="627">
        <f>'Clés de répartition'!J116</f>
        <v>33.3478615277375</v>
      </c>
      <c r="K25" s="20">
        <f t="shared" si="6"/>
        <v>36.461543020003838</v>
      </c>
      <c r="L25" s="20">
        <f t="shared" si="7"/>
        <v>20.687463221040112</v>
      </c>
      <c r="M25" s="20">
        <f>'Clés de répartition'!D116</f>
        <v>21.923395697667399</v>
      </c>
      <c r="N25" s="20">
        <f t="shared" si="9"/>
        <v>2.3769782111660995</v>
      </c>
      <c r="O25" s="20">
        <f t="shared" si="10"/>
        <v>2.640128645359376</v>
      </c>
      <c r="P25" s="20">
        <f t="shared" si="11"/>
        <v>6.8421109666007291</v>
      </c>
      <c r="Q25" s="20">
        <f t="shared" si="12"/>
        <v>3.3053767071697129</v>
      </c>
      <c r="R25" s="20">
        <f t="shared" si="13"/>
        <v>3.6637280303982318</v>
      </c>
      <c r="S25" s="20">
        <f t="shared" si="14"/>
        <v>8.1434746161548173</v>
      </c>
      <c r="T25">
        <f>($B$20+$B$21+IF(J25&gt;30, ($B$22*(J25-30)+$B$23)*2*'Privé - Temps'!$B$11,0))*1.15</f>
        <v>1973.2571324571716</v>
      </c>
      <c r="U25">
        <f>($B$27+$B$28+IF(M25&gt;45, $B$29*(M25-45),0)*2*'Privé - Temps'!$B$11)*1.15</f>
        <v>249.54999999999998</v>
      </c>
      <c r="V25">
        <f t="shared" si="8"/>
        <v>2.5838566814117461</v>
      </c>
    </row>
    <row r="26" spans="1:22">
      <c r="A26" t="s">
        <v>1114</v>
      </c>
      <c r="G26" s="63" t="e" vm="23">
        <v>#VALUE!</v>
      </c>
      <c r="H26" s="627">
        <f>'Clés de répartition'!F117</f>
        <v>11.3011809864834</v>
      </c>
      <c r="I26" s="627">
        <f>'Clés de répartition'!B117</f>
        <v>20.0037901376047</v>
      </c>
      <c r="J26" s="627">
        <f>'Clés de répartition'!J117</f>
        <v>34.4524969913669</v>
      </c>
      <c r="K26" s="20">
        <f t="shared" si="6"/>
        <v>33.897119222137462</v>
      </c>
      <c r="L26" s="20">
        <f t="shared" si="7"/>
        <v>19.681326998124838</v>
      </c>
      <c r="M26" s="20">
        <f>'Clés de répartition'!D117</f>
        <v>36.923785058536197</v>
      </c>
      <c r="N26" s="20">
        <f t="shared" si="9"/>
        <v>2.4225727291585115</v>
      </c>
      <c r="O26" s="20">
        <f t="shared" si="10"/>
        <v>2.689939966297485</v>
      </c>
      <c r="P26" s="20">
        <f t="shared" si="11"/>
        <v>6.8461908950021861</v>
      </c>
      <c r="Q26" s="20">
        <f t="shared" si="12"/>
        <v>3.3597564863454332</v>
      </c>
      <c r="R26" s="20">
        <f t="shared" si="13"/>
        <v>3.723417333859651</v>
      </c>
      <c r="S26" s="20">
        <f t="shared" si="14"/>
        <v>8.159337100765562</v>
      </c>
      <c r="T26">
        <f>($B$20+$B$21+IF(J26&gt;30, ($B$22*(J26-30)+$B$23)*2*'Privé - Temps'!$B$11,0))*1.15</f>
        <v>2195.5650195125886</v>
      </c>
      <c r="U26">
        <f>($B$27+$B$28+IF(M26&gt;45, $B$29*(M26-45),0)*2*'Privé - Temps'!$B$11)*1.15</f>
        <v>249.54999999999998</v>
      </c>
      <c r="V26">
        <f t="shared" si="8"/>
        <v>2.6335242208621699</v>
      </c>
    </row>
    <row r="27" spans="1:22">
      <c r="A27" t="s">
        <v>1117</v>
      </c>
      <c r="B27">
        <v>107</v>
      </c>
      <c r="G27" s="63" t="e" vm="24">
        <v>#VALUE!</v>
      </c>
      <c r="H27" s="627">
        <f>'Clés de répartition'!F118</f>
        <v>8.3353296055151294</v>
      </c>
      <c r="I27" s="627">
        <f>'Clés de répartition'!B118</f>
        <v>16.770732133282301</v>
      </c>
      <c r="J27" s="627">
        <f>'Clés de répartition'!J118</f>
        <v>25.952894982765201</v>
      </c>
      <c r="K27" s="20">
        <f t="shared" si="6"/>
        <v>29.820986487429295</v>
      </c>
      <c r="L27" s="20">
        <f t="shared" si="7"/>
        <v>19.270288600290154</v>
      </c>
      <c r="M27" s="20">
        <f>'Clés de répartition'!D118</f>
        <v>17.930191097095801</v>
      </c>
      <c r="N27" s="20">
        <f t="shared" si="9"/>
        <v>1.9135006094849731</v>
      </c>
      <c r="O27" s="20">
        <f t="shared" si="10"/>
        <v>2.1236110353266713</v>
      </c>
      <c r="P27" s="20">
        <f t="shared" si="11"/>
        <v>5.2273122350680978</v>
      </c>
      <c r="Q27" s="20">
        <f t="shared" si="12"/>
        <v>2.5139826866086037</v>
      </c>
      <c r="R27" s="20">
        <f t="shared" si="13"/>
        <v>2.7859125353299929</v>
      </c>
      <c r="S27" s="20">
        <f t="shared" si="14"/>
        <v>6.0683235253676999</v>
      </c>
      <c r="T27">
        <f>($B$20+$B$21+IF(J27&gt;30, ($B$22*(J27-30)+$B$23)*2*'Privé - Temps'!$B$11,0))*1.15</f>
        <v>667</v>
      </c>
      <c r="U27">
        <f>($B$27+$B$28+IF(M27&gt;45, $B$29*(M27-45),0)*2*'Privé - Temps'!$B$11)*1.15</f>
        <v>249.54999999999998</v>
      </c>
      <c r="V27">
        <f t="shared" si="8"/>
        <v>2.0801910798834258</v>
      </c>
    </row>
    <row r="28" spans="1:22">
      <c r="A28" t="s">
        <v>1118</v>
      </c>
      <c r="B28">
        <f>22*5</f>
        <v>110</v>
      </c>
      <c r="G28" s="63" t="e" vm="25">
        <v>#VALUE!</v>
      </c>
      <c r="H28" s="627">
        <f>'Clés de répartition'!F119</f>
        <v>15.6058579068836</v>
      </c>
      <c r="I28" s="627">
        <f>'Clés de répartition'!B119</f>
        <v>20.1820562457678</v>
      </c>
      <c r="J28" s="627">
        <f>'Clés de répartition'!J119</f>
        <v>33.998674368789899</v>
      </c>
      <c r="K28" s="20">
        <f t="shared" si="6"/>
        <v>46.395246500681516</v>
      </c>
      <c r="L28" s="20">
        <f t="shared" si="7"/>
        <v>27.540823040811496</v>
      </c>
      <c r="M28" s="20">
        <f>'Clés de répartition'!D119</f>
        <v>12.401933376877899</v>
      </c>
      <c r="N28" s="20">
        <f t="shared" si="9"/>
        <v>2.9063011279928315</v>
      </c>
      <c r="O28" s="20">
        <f t="shared" si="10"/>
        <v>3.2317698665411227</v>
      </c>
      <c r="P28" s="20">
        <f t="shared" si="11"/>
        <v>8.8362130441236211</v>
      </c>
      <c r="Q28" s="20">
        <f t="shared" si="12"/>
        <v>3.7490178712983373</v>
      </c>
      <c r="R28" s="20">
        <f t="shared" si="13"/>
        <v>4.1594573189268385</v>
      </c>
      <c r="S28" s="20">
        <f t="shared" si="14"/>
        <v>10.020273529662781</v>
      </c>
      <c r="T28">
        <f>($B$20+$B$21+IF(J28&gt;30, ($B$22*(J28-30)+$B$23)*2*'Privé - Temps'!$B$11,0))*1.15</f>
        <v>2104.233216718967</v>
      </c>
      <c r="U28">
        <f>($B$27+$B$28+IF(M28&gt;45, $B$29*(M28-45),0)*2*'Privé - Temps'!$B$11)*1.15</f>
        <v>249.54999999999998</v>
      </c>
      <c r="V28">
        <f t="shared" si="8"/>
        <v>3.1584106727656933</v>
      </c>
    </row>
    <row r="29" spans="1:22">
      <c r="A29" t="s">
        <v>1115</v>
      </c>
      <c r="B29">
        <v>0.17</v>
      </c>
      <c r="G29" s="63" t="e" vm="26">
        <v>#VALUE!</v>
      </c>
      <c r="H29" s="627">
        <f>'Clés de répartition'!F120</f>
        <v>10.6728142913478</v>
      </c>
      <c r="I29" s="627">
        <f>'Clés de répartition'!B120</f>
        <v>19.940048276417301</v>
      </c>
      <c r="J29" s="627">
        <f>'Clés de répartition'!J120</f>
        <v>31.1286403461493</v>
      </c>
      <c r="K29" s="20">
        <f t="shared" si="6"/>
        <v>32.114709483337592</v>
      </c>
      <c r="L29" s="20">
        <f t="shared" si="7"/>
        <v>20.571693795809601</v>
      </c>
      <c r="M29" s="20">
        <f>'Clés de répartition'!D120</f>
        <v>16.469775002477999</v>
      </c>
      <c r="N29" s="20">
        <f t="shared" si="9"/>
        <v>2.3532159734173521</v>
      </c>
      <c r="O29" s="20">
        <f t="shared" si="10"/>
        <v>2.6123579237951087</v>
      </c>
      <c r="P29" s="20">
        <f t="shared" si="11"/>
        <v>6.5572662984854189</v>
      </c>
      <c r="Q29" s="20">
        <f t="shared" si="12"/>
        <v>3.0796700549996312</v>
      </c>
      <c r="R29" s="20">
        <f t="shared" si="13"/>
        <v>3.4134906789383646</v>
      </c>
      <c r="S29" s="20">
        <f t="shared" si="14"/>
        <v>7.5751354298353029</v>
      </c>
      <c r="T29">
        <f>($B$20+$B$21+IF(J29&gt;30, ($B$22*(J29-30)+$B$23)*2*'Privé - Temps'!$B$11,0))*1.15</f>
        <v>1526.6388696625465</v>
      </c>
      <c r="U29">
        <f>($B$27+$B$28+IF(M29&gt;45, $B$29*(M29-45),0)*2*'Privé - Temps'!$B$11)*1.15</f>
        <v>249.54999999999998</v>
      </c>
      <c r="V29">
        <f t="shared" si="8"/>
        <v>2.5581770431400201</v>
      </c>
    </row>
    <row r="30" spans="1:22">
      <c r="G30" s="63" t="e" vm="27">
        <v>#VALUE!</v>
      </c>
      <c r="H30" s="627">
        <f>'Clés de répartition'!F121</f>
        <v>16.203951498692401</v>
      </c>
      <c r="I30" s="627">
        <f>'Clés de répartition'!B121</f>
        <v>22.044967908657199</v>
      </c>
      <c r="J30" s="627">
        <f>'Clés de répartition'!J121</f>
        <v>39.906750445902702</v>
      </c>
      <c r="K30" s="20">
        <f t="shared" si="6"/>
        <v>44.102449772210392</v>
      </c>
      <c r="L30" s="20">
        <f t="shared" si="7"/>
        <v>24.362722573452867</v>
      </c>
      <c r="M30" s="20">
        <f>'Clés de répartition'!D121</f>
        <v>34.982327006426502</v>
      </c>
      <c r="N30" s="20">
        <f t="shared" si="9"/>
        <v>3.0783397248855504</v>
      </c>
      <c r="O30" s="20">
        <f t="shared" si="10"/>
        <v>3.4221838782754541</v>
      </c>
      <c r="P30" s="20">
        <f t="shared" si="11"/>
        <v>9.2603991435933448</v>
      </c>
      <c r="Q30" s="20">
        <f t="shared" si="12"/>
        <v>4.191677926888139</v>
      </c>
      <c r="R30" s="20">
        <f t="shared" si="13"/>
        <v>4.6485972313312569</v>
      </c>
      <c r="S30" s="20">
        <f t="shared" si="14"/>
        <v>10.823250485533805</v>
      </c>
      <c r="T30">
        <f>($B$20+$B$21+IF(J30&gt;30, ($B$22*(J30-30)+$B$23)*2*'Privé - Temps'!$B$11,0))*1.15</f>
        <v>3293.2335272379187</v>
      </c>
      <c r="U30">
        <f>($B$27+$B$28+IF(M30&gt;45, $B$29*(M30-45),0)*2*'Privé - Temps'!$B$11)*1.15</f>
        <v>249.54999999999998</v>
      </c>
      <c r="V30">
        <f t="shared" si="8"/>
        <v>3.3456228095595013</v>
      </c>
    </row>
    <row r="31" spans="1:22">
      <c r="G31" s="63" t="e" vm="28">
        <v>#VALUE!</v>
      </c>
      <c r="H31" s="627">
        <f>'Clés de répartition'!F122</f>
        <v>10.4575282644737</v>
      </c>
      <c r="I31" s="627">
        <f>'Clés de répartition'!B122</f>
        <v>19.524723924705999</v>
      </c>
      <c r="J31" s="627">
        <f>'Clés de répartition'!J122</f>
        <v>33.844158686009798</v>
      </c>
      <c r="K31" s="20">
        <f t="shared" si="6"/>
        <v>32.136264681031598</v>
      </c>
      <c r="L31" s="20">
        <f t="shared" si="7"/>
        <v>18.539438420958373</v>
      </c>
      <c r="M31" s="20">
        <f>'Clés de répartition'!D122</f>
        <v>19.9844595034542</v>
      </c>
      <c r="N31" s="20">
        <f t="shared" si="9"/>
        <v>2.3049266452921713</v>
      </c>
      <c r="O31" s="20">
        <f t="shared" si="10"/>
        <v>2.5587576691565737</v>
      </c>
      <c r="P31" s="20">
        <f t="shared" si="11"/>
        <v>6.4238436592040067</v>
      </c>
      <c r="Q31" s="20">
        <f t="shared" si="12"/>
        <v>3.2392782341939199</v>
      </c>
      <c r="R31" s="20">
        <f t="shared" si="13"/>
        <v>3.5892283211192311</v>
      </c>
      <c r="S31" s="20">
        <f t="shared" si="14"/>
        <v>7.7325645938934047</v>
      </c>
      <c r="T31">
        <f>($B$20+$B$21+IF(J31&gt;30, ($B$22*(J31-30)+$B$23)*2*'Privé - Temps'!$B$11,0))*1.15</f>
        <v>2073.1369355594716</v>
      </c>
      <c r="U31">
        <f>($B$27+$B$28+IF(M31&gt;45, $B$29*(M31-45),0)*2*'Privé - Temps'!$B$11)*1.15</f>
        <v>249.54999999999998</v>
      </c>
      <c r="V31">
        <f t="shared" si="8"/>
        <v>2.5056813279680998</v>
      </c>
    </row>
    <row r="32" spans="1:22">
      <c r="A32" t="s">
        <v>1124</v>
      </c>
      <c r="B32" t="s">
        <v>1101</v>
      </c>
      <c r="G32" s="63" t="e" vm="29">
        <v>#VALUE!</v>
      </c>
      <c r="H32" s="627">
        <f>'Clés de répartition'!F123</f>
        <v>11.1848858348266</v>
      </c>
      <c r="I32" s="627">
        <f>'Clés de répartition'!B123</f>
        <v>16.996067664924102</v>
      </c>
      <c r="J32" s="627">
        <f>'Clés de répartition'!J123</f>
        <v>28.163632533768698</v>
      </c>
      <c r="K32" s="20">
        <f t="shared" si="6"/>
        <v>39.485201125350599</v>
      </c>
      <c r="L32" s="20">
        <f t="shared" si="7"/>
        <v>23.828359118268686</v>
      </c>
      <c r="M32" s="20">
        <f>'Clés de répartition'!D123</f>
        <v>17.478941629629599</v>
      </c>
      <c r="N32" s="20">
        <f t="shared" si="9"/>
        <v>2.2277553142733901</v>
      </c>
      <c r="O32" s="20">
        <f t="shared" si="10"/>
        <v>2.4752697359733045</v>
      </c>
      <c r="P32" s="20">
        <f t="shared" si="11"/>
        <v>6.536964053429779</v>
      </c>
      <c r="Q32" s="20">
        <f t="shared" si="12"/>
        <v>2.9337492295511622</v>
      </c>
      <c r="R32" s="20">
        <f t="shared" si="13"/>
        <v>3.2533044017309756</v>
      </c>
      <c r="S32" s="20">
        <f t="shared" si="14"/>
        <v>7.5274294303796028</v>
      </c>
      <c r="T32">
        <f>($B$20+$B$21+IF(J32&gt;30, ($B$22*(J32-30)+$B$23)*2*'Privé - Temps'!$B$11,0))*1.15</f>
        <v>667</v>
      </c>
      <c r="U32">
        <f>($B$27+$B$28+IF(M32&gt;45, $B$29*(M32-45),0)*2*'Privé - Temps'!$B$11)*1.15</f>
        <v>249.54999999999998</v>
      </c>
      <c r="V32">
        <f t="shared" si="8"/>
        <v>2.4214923577583107</v>
      </c>
    </row>
    <row r="33" spans="1:22">
      <c r="A33" t="s">
        <v>1097</v>
      </c>
      <c r="B33">
        <v>2.386E-4</v>
      </c>
      <c r="G33" s="63" t="e" vm="30">
        <v>#VALUE!</v>
      </c>
      <c r="H33" s="627">
        <f>'Clés de répartition'!F124</f>
        <v>11.020978019902801</v>
      </c>
      <c r="I33" s="627">
        <f>'Clés de répartition'!B124</f>
        <v>18.768736695744298</v>
      </c>
      <c r="J33" s="627">
        <f>'Clés de répartition'!J124</f>
        <v>34.499081939442</v>
      </c>
      <c r="K33" s="20">
        <f t="shared" si="6"/>
        <v>35.231922740122648</v>
      </c>
      <c r="L33" s="20">
        <f t="shared" si="7"/>
        <v>19.167428349395184</v>
      </c>
      <c r="M33" s="20">
        <f>'Clés de répartition'!D124</f>
        <v>20.7344521849272</v>
      </c>
      <c r="N33" s="20">
        <f t="shared" si="9"/>
        <v>2.3169682531618565</v>
      </c>
      <c r="O33" s="20">
        <f t="shared" si="10"/>
        <v>2.5730959398520405</v>
      </c>
      <c r="P33" s="20">
        <f t="shared" si="11"/>
        <v>6.6124822480575469</v>
      </c>
      <c r="Q33" s="20">
        <f t="shared" si="12"/>
        <v>3.3362098861183855</v>
      </c>
      <c r="R33" s="20">
        <f t="shared" si="13"/>
        <v>3.6970156919909063</v>
      </c>
      <c r="S33" s="20">
        <f t="shared" si="14"/>
        <v>8.0406379827727044</v>
      </c>
      <c r="T33">
        <f>($B$20+$B$21+IF(J33&gt;30, ($B$22*(J33-30)+$B$23)*2*'Privé - Temps'!$B$11,0))*1.15</f>
        <v>2204.9402403127024</v>
      </c>
      <c r="U33">
        <f>($B$27+$B$28+IF(M33&gt;45, $B$29*(M33-45),0)*2*'Privé - Temps'!$B$11)*1.15</f>
        <v>249.54999999999998</v>
      </c>
      <c r="V33">
        <f t="shared" si="8"/>
        <v>2.5186761669074094</v>
      </c>
    </row>
    <row r="34" spans="1:22">
      <c r="A34" t="s">
        <v>1098</v>
      </c>
      <c r="B34">
        <v>3.993E-2</v>
      </c>
      <c r="G34" s="63" t="e" vm="31">
        <v>#VALUE!</v>
      </c>
      <c r="H34" s="627">
        <f>'Clés de répartition'!F125</f>
        <v>12.6878555048858</v>
      </c>
      <c r="I34" s="627">
        <f>'Clés de répartition'!B125</f>
        <v>17.924003716481401</v>
      </c>
      <c r="J34" s="627">
        <f>'Clés de répartition'!J125</f>
        <v>29.7671927434426</v>
      </c>
      <c r="K34" s="20">
        <f t="shared" si="6"/>
        <v>42.472169853052819</v>
      </c>
      <c r="L34" s="20">
        <f t="shared" si="7"/>
        <v>25.574172776532585</v>
      </c>
      <c r="M34" s="20">
        <f>'Clés de répartition'!D125</f>
        <v>17.038795796799299</v>
      </c>
      <c r="N34" s="20">
        <f t="shared" si="9"/>
        <v>2.4480752957163254</v>
      </c>
      <c r="O34" s="20">
        <f t="shared" si="10"/>
        <v>2.7210116069970276</v>
      </c>
      <c r="P34" s="20">
        <f t="shared" si="11"/>
        <v>7.3041118844743584</v>
      </c>
      <c r="Q34" s="20">
        <f t="shared" si="12"/>
        <v>3.1856232587536373</v>
      </c>
      <c r="R34" s="20">
        <f t="shared" si="13"/>
        <v>3.5334609383452693</v>
      </c>
      <c r="S34" s="20">
        <f t="shared" si="14"/>
        <v>8.3395178259194651</v>
      </c>
      <c r="T34">
        <f>($B$20+$B$21+IF(J34&gt;30, ($B$22*(J34-30)+$B$23)*2*'Privé - Temps'!$B$11,0))*1.15</f>
        <v>667</v>
      </c>
      <c r="U34">
        <f>($B$27+$B$28+IF(M34&gt;45, $B$29*(M34-45),0)*2*'Privé - Temps'!$B$11)*1.15</f>
        <v>249.54999999999998</v>
      </c>
      <c r="V34">
        <f t="shared" si="8"/>
        <v>2.6607638261812672</v>
      </c>
    </row>
    <row r="35" spans="1:22">
      <c r="A35" t="s">
        <v>1099</v>
      </c>
      <c r="B35">
        <v>2.3740000000000001</v>
      </c>
      <c r="G35" s="63" t="e" vm="32">
        <v>#VALUE!</v>
      </c>
      <c r="H35" s="627">
        <f>'Clés de répartition'!F126</f>
        <v>13.4249034439233</v>
      </c>
      <c r="I35" s="627">
        <f>'Clés de répartition'!B126</f>
        <v>18.595481067778</v>
      </c>
      <c r="J35" s="627">
        <f>'Clés de répartition'!J126</f>
        <v>31.390956236580699</v>
      </c>
      <c r="K35" s="20">
        <f t="shared" si="6"/>
        <v>43.316664070129789</v>
      </c>
      <c r="L35" s="20">
        <f t="shared" si="7"/>
        <v>25.660072301229697</v>
      </c>
      <c r="M35" s="20">
        <f>'Clés de répartition'!D126</f>
        <v>31.4890904239038</v>
      </c>
      <c r="N35" s="20">
        <f t="shared" si="9"/>
        <v>2.5691578542529276</v>
      </c>
      <c r="O35" s="20">
        <f t="shared" si="10"/>
        <v>2.8558707277450077</v>
      </c>
      <c r="P35" s="20">
        <f t="shared" si="11"/>
        <v>7.6986483430596051</v>
      </c>
      <c r="Q35" s="20">
        <f t="shared" si="12"/>
        <v>3.363824072714551</v>
      </c>
      <c r="R35" s="20">
        <f t="shared" si="13"/>
        <v>3.7311626853873672</v>
      </c>
      <c r="S35" s="20">
        <f t="shared" si="14"/>
        <v>8.8143626791703014</v>
      </c>
      <c r="T35">
        <f>($B$20+$B$21+IF(J35&gt;30, ($B$22*(J35-30)+$B$23)*2*'Privé - Temps'!$B$11,0))*1.15</f>
        <v>1579.4299426118655</v>
      </c>
      <c r="U35">
        <f>($B$27+$B$28+IF(M35&gt;45, $B$29*(M35-45),0)*2*'Privé - Temps'!$B$11)*1.15</f>
        <v>249.54999999999998</v>
      </c>
      <c r="V35">
        <f t="shared" si="8"/>
        <v>2.7922970178722846</v>
      </c>
    </row>
    <row r="36" spans="1:22">
      <c r="A36" t="s">
        <v>1100</v>
      </c>
      <c r="B36">
        <v>0.44740000000000002</v>
      </c>
      <c r="G36" s="63" t="e" vm="33">
        <v>#VALUE!</v>
      </c>
      <c r="H36" s="627">
        <f>'Clés de répartition'!F127</f>
        <v>11.010756646278701</v>
      </c>
      <c r="I36" s="627">
        <f>'Clés de répartition'!B127</f>
        <v>18.026982985789001</v>
      </c>
      <c r="J36" s="627">
        <f>'Clés de répartition'!J127</f>
        <v>28.934689051582499</v>
      </c>
      <c r="K36" s="20">
        <f t="shared" si="6"/>
        <v>36.647585416679036</v>
      </c>
      <c r="L36" s="20">
        <f t="shared" si="7"/>
        <v>22.832296472893663</v>
      </c>
      <c r="M36" s="20">
        <f>'Clés de répartition'!D127</f>
        <v>16.569234359931901</v>
      </c>
      <c r="N36" s="20">
        <f t="shared" si="9"/>
        <v>2.2706627510498234</v>
      </c>
      <c r="O36" s="20">
        <f t="shared" si="10"/>
        <v>2.5220991647248407</v>
      </c>
      <c r="P36" s="20">
        <f t="shared" si="11"/>
        <v>6.5443007769223627</v>
      </c>
      <c r="Q36" s="20">
        <f t="shared" si="12"/>
        <v>2.9674368783964264</v>
      </c>
      <c r="R36" s="20">
        <f t="shared" si="13"/>
        <v>3.2901967362596012</v>
      </c>
      <c r="S36" s="20">
        <f t="shared" si="14"/>
        <v>7.5213779134928096</v>
      </c>
      <c r="T36">
        <f>($B$20+$B$21+IF(J36&gt;30, ($B$22*(J36-30)+$B$23)*2*'Privé - Temps'!$B$11,0))*1.15</f>
        <v>667</v>
      </c>
      <c r="U36">
        <f>($B$27+$B$28+IF(M36&gt;45, $B$29*(M36-45),0)*2*'Privé - Temps'!$B$11)*1.15</f>
        <v>249.54999999999998</v>
      </c>
      <c r="V36">
        <f t="shared" si="8"/>
        <v>2.4682797178515896</v>
      </c>
    </row>
    <row r="37" spans="1:22">
      <c r="G37" s="63" t="e" vm="34">
        <v>#VALUE!</v>
      </c>
      <c r="H37" s="627">
        <f>'Clés de répartition'!F128</f>
        <v>11.334709183819699</v>
      </c>
      <c r="I37" s="627">
        <f>'Clés de répartition'!B128</f>
        <v>18.5653457983076</v>
      </c>
      <c r="J37" s="627">
        <f>'Clés de répartition'!J128</f>
        <v>31.350530414775399</v>
      </c>
      <c r="K37" s="20">
        <f t="shared" si="6"/>
        <v>36.63182783760363</v>
      </c>
      <c r="L37" s="20">
        <f t="shared" si="7"/>
        <v>21.692856294024974</v>
      </c>
      <c r="M37" s="20">
        <f>'Clés de répartition'!D128</f>
        <v>20.588503850777901</v>
      </c>
      <c r="N37" s="20">
        <f t="shared" si="9"/>
        <v>2.3379528012792639</v>
      </c>
      <c r="O37" s="20">
        <f t="shared" si="10"/>
        <v>2.5968355414511226</v>
      </c>
      <c r="P37" s="20">
        <f t="shared" si="11"/>
        <v>6.7375237042929763</v>
      </c>
      <c r="Q37" s="20">
        <f t="shared" si="12"/>
        <v>3.1577711303039684</v>
      </c>
      <c r="R37" s="20">
        <f t="shared" si="13"/>
        <v>3.5006508955116598</v>
      </c>
      <c r="S37" s="20">
        <f t="shared" si="14"/>
        <v>7.8869119176727471</v>
      </c>
      <c r="T37">
        <f>($B$20+$B$21+IF(J37&gt;30, ($B$22*(J37-30)+$B$23)*2*'Privé - Temps'!$B$11,0))*1.15</f>
        <v>1571.2942459735491</v>
      </c>
      <c r="U37">
        <f>($B$27+$B$28+IF(M37&gt;45, $B$29*(M37-45),0)*2*'Privé - Temps'!$B$11)*1.15</f>
        <v>249.54999999999998</v>
      </c>
      <c r="V37">
        <f t="shared" si="8"/>
        <v>2.5414267973007578</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C19916-0138-D148-9754-7C4D59FC4094}">
  <sheetPr codeName="Sheet18">
    <tabColor rgb="FFF4B182"/>
  </sheetPr>
  <dimension ref="A1:AH38"/>
  <sheetViews>
    <sheetView zoomScale="75" zoomScaleNormal="100" workbookViewId="0">
      <selection activeCell="A7" sqref="A7"/>
    </sheetView>
  </sheetViews>
  <sheetFormatPr baseColWidth="10" defaultRowHeight="16"/>
  <cols>
    <col min="1" max="1" width="36.6640625" customWidth="1"/>
    <col min="2" max="2" width="18.5" customWidth="1"/>
    <col min="3" max="3" width="10.33203125" bestFit="1" customWidth="1"/>
    <col min="4" max="4" width="15.1640625" customWidth="1"/>
    <col min="5" max="5" width="15" customWidth="1"/>
    <col min="6" max="6" width="13.33203125" customWidth="1"/>
    <col min="7" max="7" width="11.6640625" customWidth="1"/>
    <col min="8" max="8" width="13" customWidth="1"/>
    <col min="9" max="9" width="13.1640625" customWidth="1"/>
    <col min="10" max="14" width="13.83203125" customWidth="1"/>
    <col min="15" max="15" width="23" customWidth="1"/>
    <col min="16" max="17" width="18.83203125" customWidth="1"/>
    <col min="18" max="18" width="23.33203125" customWidth="1"/>
    <col min="19" max="19" width="13.5" customWidth="1"/>
    <col min="30" max="30" width="11.6640625" bestFit="1" customWidth="1"/>
  </cols>
  <sheetData>
    <row r="1" spans="1:34">
      <c r="A1" s="501" t="s">
        <v>841</v>
      </c>
    </row>
    <row r="2" spans="1:34" s="114" customFormat="1" ht="69" thickBot="1">
      <c r="A2" s="272" t="s">
        <v>10</v>
      </c>
      <c r="B2" s="283" t="s">
        <v>457</v>
      </c>
      <c r="C2" s="283" t="s">
        <v>458</v>
      </c>
      <c r="D2" s="283" t="s">
        <v>459</v>
      </c>
      <c r="E2" s="283" t="s">
        <v>460</v>
      </c>
      <c r="F2" s="283" t="s">
        <v>461</v>
      </c>
      <c r="G2" s="283" t="s">
        <v>600</v>
      </c>
      <c r="H2" s="283" t="s">
        <v>578</v>
      </c>
      <c r="I2" s="138" t="s">
        <v>465</v>
      </c>
      <c r="J2" s="138" t="s">
        <v>464</v>
      </c>
      <c r="K2" s="138" t="s">
        <v>572</v>
      </c>
      <c r="L2" s="138" t="s">
        <v>570</v>
      </c>
      <c r="M2" s="138" t="s">
        <v>571</v>
      </c>
      <c r="N2" s="138" t="s">
        <v>656</v>
      </c>
      <c r="O2" s="138" t="s">
        <v>634</v>
      </c>
      <c r="P2" s="138"/>
      <c r="Q2" s="138"/>
      <c r="R2" s="138"/>
      <c r="S2" s="138"/>
      <c r="T2" s="138"/>
      <c r="AB2" s="114" t="s">
        <v>580</v>
      </c>
      <c r="AC2" s="114" t="s">
        <v>593</v>
      </c>
      <c r="AD2" s="114" t="s">
        <v>581</v>
      </c>
      <c r="AE2" s="114" t="s">
        <v>466</v>
      </c>
    </row>
    <row r="3" spans="1:34" ht="17">
      <c r="A3" s="298" t="s">
        <v>202</v>
      </c>
      <c r="B3" s="282">
        <f>'Privé - Achat&amp;Utilisation'!B18+'Privé - Achat&amp;Utilisation'!C65</f>
        <v>3272.909751619819</v>
      </c>
      <c r="C3" s="282">
        <f>'Privé - Contravention'!$B$8+'Privé - Permis, etc'!$C$6+'Privé - Permis, etc'!$C$7+'Caché - Accident'!$B$6</f>
        <v>535.79560301458696</v>
      </c>
      <c r="D3" s="282">
        <f>'Privé - Temps'!B19</f>
        <v>2167.4910009752771</v>
      </c>
      <c r="E3" s="282">
        <f>'Indirect - Prov. &amp; Féd.'!$B$8+'Indirect - Prov. &amp; Féd.'!$B$10+'Indirect - Villes'!K13+'Indirect - Villes'!S13</f>
        <v>2849.9270299362952</v>
      </c>
      <c r="F3" s="53">
        <f>'Caché - GES'!B16</f>
        <v>678.81993073148044</v>
      </c>
      <c r="G3" s="53">
        <f>'Caché - Congestion'!F25</f>
        <v>2053.8338069208912</v>
      </c>
      <c r="H3" s="282">
        <f>'Caché - Accident'!$B$7+'Caché - Emprise spatiale'!L17+'Caché - Emprise spatiale'!P17+'Caché - Emprise spatiale'!I61</f>
        <v>3686.8496076755923</v>
      </c>
      <c r="I3" s="54">
        <f t="shared" ref="I3:I18" si="0">SUM(B3:D3)</f>
        <v>5976.1963556096835</v>
      </c>
      <c r="J3" s="54">
        <f>SUM(E3:H3)</f>
        <v>9269.4303752642591</v>
      </c>
      <c r="K3" s="54">
        <f>J3/I3</f>
        <v>1.5510585368506695</v>
      </c>
      <c r="L3" s="54">
        <f>I3/('Clés de répartition'!F93*2*'Privé - Temps'!$B$11)</f>
        <v>0.9714137406937875</v>
      </c>
      <c r="M3" s="54">
        <f>J3/('Clés de répartition'!F93*2*'Privé - Temps'!$B$11)</f>
        <v>1.5067195753171416</v>
      </c>
      <c r="N3" s="366">
        <f>M3/$M$3</f>
        <v>1</v>
      </c>
      <c r="O3" s="21"/>
      <c r="P3" s="21"/>
      <c r="Q3" s="53"/>
      <c r="R3" s="308"/>
      <c r="S3" s="308"/>
      <c r="T3" s="327"/>
      <c r="AB3" s="54"/>
    </row>
    <row r="4" spans="1:34">
      <c r="A4" s="347" t="e" vm="1">
        <v>#VALUE!</v>
      </c>
      <c r="B4" s="282">
        <f>'Privé - Achat&amp;Utilisation'!B19+'Privé - Achat&amp;Utilisation'!C66</f>
        <v>5166.4107641737255</v>
      </c>
      <c r="C4" s="282">
        <f>'Privé - Contravention'!$B$8+'Privé - Permis, etc'!$C$6+'Privé - Permis, etc'!$C$7+'Caché - Accident'!$B$6</f>
        <v>535.79560301458696</v>
      </c>
      <c r="D4" s="282">
        <f>'Privé - Temps'!B20</f>
        <v>1852.5689260118947</v>
      </c>
      <c r="E4" s="282">
        <f>'Indirect - Prov. &amp; Féd.'!$B$8+'Indirect - Prov. &amp; Féd.'!$B$10+'Indirect - Villes'!K14+'Indirect - Villes'!S14</f>
        <v>4169.1447210011147</v>
      </c>
      <c r="F4" s="53">
        <f>'Caché - GES'!B17</f>
        <v>747.19822646730017</v>
      </c>
      <c r="G4" s="53">
        <f>'Caché - Congestion'!F26</f>
        <v>1058.6599171175521</v>
      </c>
      <c r="H4" s="282">
        <f>'Caché - Accident'!$B$7+'Caché - Emprise spatiale'!L18+'Caché - Emprise spatiale'!P18+'Caché - Emprise spatiale'!I62</f>
        <v>3835.2502639727973</v>
      </c>
      <c r="I4" s="54">
        <f t="shared" si="0"/>
        <v>7554.7752932002077</v>
      </c>
      <c r="J4" s="54">
        <f t="shared" ref="J4:J38" si="1">SUM(E4:H4)</f>
        <v>9810.2531285587647</v>
      </c>
      <c r="K4" s="54">
        <f t="shared" ref="K4:K38" si="2">J4/I4</f>
        <v>1.2985499565273153</v>
      </c>
      <c r="L4" s="54">
        <f>I4/('Clés de répartition'!F94*2*'Privé - Temps'!$B$11)</f>
        <v>0.97017582916571232</v>
      </c>
      <c r="M4" s="54">
        <f>J4/('Clés de répartition'!F94*2*'Privé - Temps'!$B$11)</f>
        <v>1.2598217807869876</v>
      </c>
      <c r="N4" s="366">
        <f t="shared" ref="N4:N38" si="3">M4/$M$3</f>
        <v>0.83613553671512775</v>
      </c>
      <c r="Q4" s="53"/>
      <c r="R4" s="308"/>
      <c r="S4" s="308"/>
      <c r="T4" s="327"/>
      <c r="V4" s="292"/>
      <c r="W4" s="292"/>
      <c r="X4" s="292"/>
      <c r="AB4" s="54"/>
      <c r="AC4" s="53"/>
      <c r="AD4" s="282"/>
      <c r="AE4" s="54"/>
    </row>
    <row r="5" spans="1:34">
      <c r="A5" s="347" t="e" vm="2">
        <v>#VALUE!</v>
      </c>
      <c r="B5" s="282">
        <f>'Privé - Achat&amp;Utilisation'!B20+'Privé - Achat&amp;Utilisation'!C67</f>
        <v>5537.9746080126024</v>
      </c>
      <c r="C5" s="282">
        <f>'Privé - Contravention'!$B$8+'Privé - Permis, etc'!$C$6+'Privé - Permis, etc'!$C$7+'Caché - Accident'!$B$6</f>
        <v>535.79560301458696</v>
      </c>
      <c r="D5" s="282">
        <f>'Privé - Temps'!B21</f>
        <v>2184.5293997688464</v>
      </c>
      <c r="E5" s="282">
        <f>'Indirect - Prov. &amp; Féd.'!$B$8+'Indirect - Prov. &amp; Féd.'!$B$10+'Indirect - Villes'!K15+'Indirect - Villes'!S15</f>
        <v>1818.5244144284034</v>
      </c>
      <c r="F5" s="53">
        <f>'Caché - GES'!B18</f>
        <v>846.47172346113916</v>
      </c>
      <c r="G5" s="53">
        <f>'Caché - Congestion'!F27</f>
        <v>1681.9725595357745</v>
      </c>
      <c r="H5" s="282">
        <f>'Caché - Accident'!$B$7+'Caché - Emprise spatiale'!L19+'Caché - Emprise spatiale'!P19+'Caché - Emprise spatiale'!I63</f>
        <v>3220.1410286852124</v>
      </c>
      <c r="I5" s="54">
        <f t="shared" si="0"/>
        <v>8258.2996107960353</v>
      </c>
      <c r="J5" s="54">
        <f t="shared" si="1"/>
        <v>7567.1097261105288</v>
      </c>
      <c r="K5" s="54">
        <f t="shared" si="2"/>
        <v>0.91630360761167862</v>
      </c>
      <c r="L5" s="54">
        <f>I5/('Clés de répartition'!F95*2*'Privé - Temps'!$B$11)</f>
        <v>0.95056910478028922</v>
      </c>
      <c r="M5" s="54">
        <f>J5/('Clés de répartition'!F95*2*'Privé - Temps'!$B$11)</f>
        <v>0.87100989999438283</v>
      </c>
      <c r="N5" s="366">
        <f t="shared" si="3"/>
        <v>0.57808361573257483</v>
      </c>
      <c r="Q5" s="53"/>
      <c r="R5" s="308"/>
      <c r="S5" s="308"/>
      <c r="T5" s="327"/>
      <c r="V5" s="292"/>
      <c r="W5" s="292"/>
      <c r="X5" s="292"/>
      <c r="AB5" s="54"/>
      <c r="AC5" s="53"/>
      <c r="AD5" s="282"/>
      <c r="AE5" s="54"/>
      <c r="AH5" s="16"/>
    </row>
    <row r="6" spans="1:34">
      <c r="A6" s="347" t="e" vm="3">
        <v>#VALUE!</v>
      </c>
      <c r="B6" s="282">
        <f>'Privé - Achat&amp;Utilisation'!B21+'Privé - Achat&amp;Utilisation'!C68</f>
        <v>3077.6638217571399</v>
      </c>
      <c r="C6" s="282">
        <f>'Privé - Contravention'!$B$8+'Privé - Permis, etc'!$C$6+'Privé - Permis, etc'!$C$7+'Caché - Accident'!$B$6</f>
        <v>535.79560301458696</v>
      </c>
      <c r="D6" s="282">
        <f>'Privé - Temps'!B22</f>
        <v>2052.3902717410629</v>
      </c>
      <c r="E6" s="282">
        <f>'Indirect - Prov. &amp; Féd.'!$B$8+'Indirect - Prov. &amp; Féd.'!$B$10+'Indirect - Villes'!K16+'Indirect - Villes'!S16</f>
        <v>2005.3392605084582</v>
      </c>
      <c r="F6" s="53">
        <f>'Caché - GES'!B19</f>
        <v>567.50220290208279</v>
      </c>
      <c r="G6" s="53">
        <f>'Caché - Congestion'!F28</f>
        <v>2158.5349944249083</v>
      </c>
      <c r="H6" s="282">
        <f>'Caché - Accident'!$B$7+'Caché - Emprise spatiale'!L20+'Caché - Emprise spatiale'!P20+'Caché - Emprise spatiale'!I64</f>
        <v>2659.7022256575347</v>
      </c>
      <c r="I6" s="54">
        <f t="shared" si="0"/>
        <v>5665.8496965127897</v>
      </c>
      <c r="J6" s="54">
        <f t="shared" si="1"/>
        <v>7391.0786834929841</v>
      </c>
      <c r="K6" s="54">
        <f t="shared" si="2"/>
        <v>1.3044960737384255</v>
      </c>
      <c r="L6" s="54">
        <f>I6/('Clés de répartition'!F96*2*'Privé - Temps'!$B$11)</f>
        <v>1.2432288631014463</v>
      </c>
      <c r="M6" s="54">
        <f>J6/('Clés de répartition'!F96*2*'Privé - Temps'!$B$11)</f>
        <v>1.6217871706741231</v>
      </c>
      <c r="N6" s="366">
        <f t="shared" si="3"/>
        <v>1.0763696159803071</v>
      </c>
      <c r="P6" s="54"/>
      <c r="Q6" s="53"/>
      <c r="R6" s="308"/>
      <c r="S6" s="308"/>
      <c r="T6" s="327"/>
      <c r="V6" s="292"/>
      <c r="W6" s="292"/>
      <c r="X6" s="292"/>
      <c r="AB6" s="54"/>
      <c r="AC6" s="53"/>
      <c r="AD6" s="282"/>
      <c r="AE6" s="54"/>
      <c r="AH6" s="16"/>
    </row>
    <row r="7" spans="1:34">
      <c r="A7" s="347" t="e" vm="4">
        <v>#VALUE!</v>
      </c>
      <c r="B7" s="282">
        <f>'Privé - Achat&amp;Utilisation'!B22+'Privé - Achat&amp;Utilisation'!C69</f>
        <v>4403.0139244778293</v>
      </c>
      <c r="C7" s="282">
        <f>'Privé - Contravention'!$B$8+'Privé - Permis, etc'!$C$6+'Privé - Permis, etc'!$C$7+'Caché - Accident'!$B$6</f>
        <v>535.79560301458696</v>
      </c>
      <c r="D7" s="282">
        <f>'Privé - Temps'!B23</f>
        <v>2228.2053719712503</v>
      </c>
      <c r="E7" s="282">
        <f>'Indirect - Prov. &amp; Féd.'!$B$8+'Indirect - Prov. &amp; Féd.'!$B$10+'Indirect - Villes'!K17+'Indirect - Villes'!S17</f>
        <v>1846.1888617529257</v>
      </c>
      <c r="F7" s="53">
        <f>'Caché - GES'!B20</f>
        <v>773.233085361196</v>
      </c>
      <c r="G7" s="53">
        <f>'Caché - Congestion'!F29</f>
        <v>2121.5472587850672</v>
      </c>
      <c r="H7" s="282">
        <f>'Caché - Accident'!$B$7+'Caché - Emprise spatiale'!L21+'Caché - Emprise spatiale'!P21+'Caché - Emprise spatiale'!I65</f>
        <v>3118.6720733654211</v>
      </c>
      <c r="I7" s="54">
        <f t="shared" si="0"/>
        <v>7167.0148994636666</v>
      </c>
      <c r="J7" s="54">
        <f t="shared" si="1"/>
        <v>7859.6412792646106</v>
      </c>
      <c r="K7" s="54">
        <f t="shared" si="2"/>
        <v>1.0966408455286978</v>
      </c>
      <c r="L7" s="54">
        <f>I7/('Clés de répartition'!F97*2*'Privé - Temps'!$B$11)</f>
        <v>0.95335676087192112</v>
      </c>
      <c r="M7" s="54">
        <f>J7/('Clés de répartition'!F97*2*'Privé - Temps'!$B$11)</f>
        <v>1.0454899643330842</v>
      </c>
      <c r="N7" s="366">
        <f t="shared" si="3"/>
        <v>0.69388490165001304</v>
      </c>
      <c r="P7" s="54"/>
      <c r="Q7" s="53"/>
      <c r="R7" s="308"/>
      <c r="S7" s="308"/>
      <c r="T7" s="327"/>
      <c r="V7" s="292"/>
      <c r="W7" s="292"/>
      <c r="X7" s="292"/>
      <c r="AB7" s="54"/>
      <c r="AC7" s="53"/>
      <c r="AD7" s="282"/>
      <c r="AE7" s="54"/>
      <c r="AH7" s="16"/>
    </row>
    <row r="8" spans="1:34">
      <c r="A8" s="347" t="e" vm="5">
        <v>#VALUE!</v>
      </c>
      <c r="B8" s="282">
        <f>'Privé - Achat&amp;Utilisation'!B23+'Privé - Achat&amp;Utilisation'!C70</f>
        <v>3897.7857691734616</v>
      </c>
      <c r="C8" s="282">
        <f>'Privé - Contravention'!$B$8+'Privé - Permis, etc'!$C$6+'Privé - Permis, etc'!$C$7+'Caché - Accident'!$B$6</f>
        <v>535.79560301458696</v>
      </c>
      <c r="D8" s="282">
        <f>'Privé - Temps'!B24</f>
        <v>1855.7637756956199</v>
      </c>
      <c r="E8" s="282">
        <f>'Indirect - Prov. &amp; Féd.'!$B$8+'Indirect - Prov. &amp; Féd.'!$B$10+'Indirect - Villes'!K18+'Indirect - Villes'!S18</f>
        <v>3075.5976837006388</v>
      </c>
      <c r="F8" s="53">
        <f>'Caché - GES'!B21</f>
        <v>678.47837249347458</v>
      </c>
      <c r="G8" s="53">
        <f>'Caché - Congestion'!F30</f>
        <v>1436.3498384203608</v>
      </c>
      <c r="H8" s="282">
        <f>'Caché - Accident'!$B$7+'Caché - Emprise spatiale'!L22+'Caché - Emprise spatiale'!P22+'Caché - Emprise spatiale'!I66</f>
        <v>3193.7115537622003</v>
      </c>
      <c r="I8" s="54">
        <f t="shared" si="0"/>
        <v>6289.3451478836687</v>
      </c>
      <c r="J8" s="54">
        <f t="shared" si="1"/>
        <v>8384.137448376674</v>
      </c>
      <c r="K8" s="54">
        <f t="shared" si="2"/>
        <v>1.3330700178217905</v>
      </c>
      <c r="L8" s="54">
        <f>I8/('Clés de répartition'!F98*2*'Privé - Temps'!$B$11)</f>
        <v>0.92710992734952002</v>
      </c>
      <c r="M8" s="54">
        <f>J8/('Clés de répartition'!F98*2*'Privé - Temps'!$B$11)</f>
        <v>1.2359024473745837</v>
      </c>
      <c r="N8" s="366">
        <f t="shared" si="3"/>
        <v>0.82026043042179564</v>
      </c>
      <c r="Q8" s="53"/>
      <c r="R8" s="308"/>
      <c r="S8" s="308"/>
      <c r="T8" s="327"/>
      <c r="V8" s="292"/>
      <c r="W8" s="292"/>
      <c r="X8" s="292"/>
      <c r="AB8" s="54"/>
      <c r="AC8" s="53"/>
      <c r="AD8" s="282"/>
      <c r="AE8" s="54"/>
      <c r="AH8" s="16"/>
    </row>
    <row r="9" spans="1:34">
      <c r="A9" s="347" t="e" vm="6">
        <v>#VALUE!</v>
      </c>
      <c r="B9" s="282">
        <f>'Privé - Achat&amp;Utilisation'!B24+'Privé - Achat&amp;Utilisation'!C71</f>
        <v>2397.6249377349395</v>
      </c>
      <c r="C9" s="282">
        <f>'Privé - Contravention'!$B$8+'Privé - Permis, etc'!$C$6+'Privé - Permis, etc'!$C$7+'Caché - Accident'!$B$6</f>
        <v>535.79560301458696</v>
      </c>
      <c r="D9" s="282">
        <f>'Privé - Temps'!B25</f>
        <v>1632.0393623284449</v>
      </c>
      <c r="E9" s="282">
        <f>'Indirect - Prov. &amp; Féd.'!$B$8+'Indirect - Prov. &amp; Féd.'!$B$10+'Indirect - Villes'!K19+'Indirect - Villes'!S19</f>
        <v>3508.1075587275845</v>
      </c>
      <c r="F9" s="53">
        <f>'Caché - GES'!B22</f>
        <v>466.20199383783665</v>
      </c>
      <c r="G9" s="53">
        <f>'Caché - Congestion'!F31</f>
        <v>1602.353341992995</v>
      </c>
      <c r="H9" s="282">
        <f>'Caché - Accident'!$B$7+'Caché - Emprise spatiale'!L23+'Caché - Emprise spatiale'!P23+'Caché - Emprise spatiale'!I67</f>
        <v>7818.850123270513</v>
      </c>
      <c r="I9" s="54">
        <f t="shared" si="0"/>
        <v>4565.4599030779718</v>
      </c>
      <c r="J9" s="54">
        <f t="shared" si="1"/>
        <v>13395.513017828929</v>
      </c>
      <c r="K9" s="54">
        <f t="shared" si="2"/>
        <v>2.9340993683457506</v>
      </c>
      <c r="L9" s="54">
        <f>I9/('Clés de répartition'!F99*2*'Privé - Temps'!$B$11)</f>
        <v>1.17609306950055</v>
      </c>
      <c r="M9" s="54">
        <f>J9/('Clés de répartition'!F99*2*'Privé - Temps'!$B$11)</f>
        <v>3.4507739323373787</v>
      </c>
      <c r="N9" s="366">
        <f t="shared" si="3"/>
        <v>2.2902562552896035</v>
      </c>
      <c r="O9" t="s">
        <v>632</v>
      </c>
      <c r="P9" s="54"/>
      <c r="Q9" s="53"/>
      <c r="R9" s="308"/>
      <c r="S9" s="308"/>
      <c r="T9" s="327"/>
      <c r="V9" s="292"/>
      <c r="W9" s="292"/>
      <c r="X9" s="292"/>
      <c r="AB9" s="54"/>
      <c r="AC9" s="53"/>
      <c r="AD9" s="282"/>
      <c r="AE9" s="54"/>
      <c r="AH9" s="16"/>
    </row>
    <row r="10" spans="1:34">
      <c r="A10" s="347" t="e" vm="7">
        <v>#VALUE!</v>
      </c>
      <c r="B10" s="282">
        <f>'Privé - Achat&amp;Utilisation'!B25+'Privé - Achat&amp;Utilisation'!C72</f>
        <v>5622.555864970067</v>
      </c>
      <c r="C10" s="282">
        <f>'Privé - Contravention'!$B$8+'Privé - Permis, etc'!$C$6+'Privé - Permis, etc'!$C$7+'Caché - Accident'!$B$6</f>
        <v>535.79560301458696</v>
      </c>
      <c r="D10" s="282">
        <f>'Privé - Temps'!B26</f>
        <v>2335.6046513576116</v>
      </c>
      <c r="E10" s="282">
        <f>'Indirect - Prov. &amp; Féd.'!$B$8+'Indirect - Prov. &amp; Féd.'!$B$10+'Indirect - Villes'!K20+'Indirect - Villes'!S20</f>
        <v>2488.2309711251328</v>
      </c>
      <c r="F10" s="53">
        <f>'Caché - GES'!B23</f>
        <v>887.45618655059582</v>
      </c>
      <c r="G10" s="53">
        <f>'Caché - Congestion'!F32</f>
        <v>1842.1312254385189</v>
      </c>
      <c r="H10" s="282">
        <f>'Caché - Accident'!$B$7+'Caché - Emprise spatiale'!L24+'Caché - Emprise spatiale'!P24+'Caché - Emprise spatiale'!I68</f>
        <v>3408.782835647442</v>
      </c>
      <c r="I10" s="54">
        <f t="shared" si="0"/>
        <v>8493.9561193422651</v>
      </c>
      <c r="J10" s="54">
        <f t="shared" si="1"/>
        <v>8626.6012187616889</v>
      </c>
      <c r="K10" s="54">
        <f t="shared" si="2"/>
        <v>1.0156164097807578</v>
      </c>
      <c r="L10" s="54">
        <f>I10/('Clés de répartition'!F100*2*'Privé - Temps'!$B$11)</f>
        <v>0.94027864284318174</v>
      </c>
      <c r="M10" s="54">
        <f>J10/('Clés de répartition'!F100*2*'Privé - Temps'!$B$11)</f>
        <v>0.9549624194379156</v>
      </c>
      <c r="N10" s="366">
        <f t="shared" si="3"/>
        <v>0.63380235783882377</v>
      </c>
      <c r="Q10" s="53"/>
      <c r="R10" s="308"/>
      <c r="S10" s="308"/>
      <c r="T10" s="327"/>
      <c r="V10" s="292"/>
      <c r="W10" s="292"/>
      <c r="X10" s="292"/>
      <c r="AB10" s="54"/>
      <c r="AC10" s="53"/>
      <c r="AD10" s="282"/>
      <c r="AE10" s="54"/>
      <c r="AH10" s="16"/>
    </row>
    <row r="11" spans="1:34">
      <c r="A11" s="347" t="e" vm="8">
        <v>#VALUE!</v>
      </c>
      <c r="B11" s="282">
        <f>'Privé - Achat&amp;Utilisation'!B26+'Privé - Achat&amp;Utilisation'!C73</f>
        <v>3133.9411780363453</v>
      </c>
      <c r="C11" s="282">
        <f>'Privé - Contravention'!$B$8+'Privé - Permis, etc'!$C$6+'Privé - Permis, etc'!$C$7+'Caché - Accident'!$B$6</f>
        <v>535.79560301458696</v>
      </c>
      <c r="D11" s="282">
        <f>'Privé - Temps'!B27</f>
        <v>2188.5803858393433</v>
      </c>
      <c r="E11" s="282">
        <f>'Indirect - Prov. &amp; Féd.'!$B$8+'Indirect - Prov. &amp; Féd.'!$B$10+'Indirect - Villes'!K21+'Indirect - Villes'!S21</f>
        <v>2894.0874044214256</v>
      </c>
      <c r="F11" s="53">
        <f>'Caché - GES'!B24</f>
        <v>675.48662261092102</v>
      </c>
      <c r="G11" s="53">
        <f>'Caché - Congestion'!F33</f>
        <v>2106.4524718737412</v>
      </c>
      <c r="H11" s="282">
        <f>'Caché - Accident'!$B$7+'Caché - Emprise spatiale'!L25+'Caché - Emprise spatiale'!P25+'Caché - Emprise spatiale'!I69</f>
        <v>3666.95091459586</v>
      </c>
      <c r="I11" s="54">
        <f t="shared" si="0"/>
        <v>5858.317166890276</v>
      </c>
      <c r="J11" s="54">
        <f t="shared" si="1"/>
        <v>9342.977413501947</v>
      </c>
      <c r="K11" s="54">
        <f t="shared" si="2"/>
        <v>1.5948227361785885</v>
      </c>
      <c r="L11" s="54">
        <f>I11/('Clés de répartition'!F101*2*'Privé - Temps'!$B$11)</f>
        <v>0.96842075896250857</v>
      </c>
      <c r="M11" s="54">
        <f>J11/('Clés de répartition'!F101*2*'Privé - Temps'!$B$11)</f>
        <v>1.5444594445807331</v>
      </c>
      <c r="N11" s="366">
        <f t="shared" si="3"/>
        <v>1.0250477062101273</v>
      </c>
      <c r="P11" s="53"/>
      <c r="Q11" s="53"/>
      <c r="R11" s="308"/>
      <c r="S11" s="308"/>
      <c r="T11" s="327"/>
      <c r="V11" s="292"/>
      <c r="W11" s="292"/>
      <c r="X11" s="292"/>
      <c r="AB11" s="54"/>
      <c r="AC11" s="53"/>
      <c r="AD11" s="282"/>
      <c r="AE11" s="54"/>
      <c r="AH11" s="16"/>
    </row>
    <row r="12" spans="1:34">
      <c r="A12" s="347" t="e" vm="9">
        <v>#VALUE!</v>
      </c>
      <c r="B12" s="282">
        <f>'Privé - Achat&amp;Utilisation'!B27+'Privé - Achat&amp;Utilisation'!C74</f>
        <v>3454.6396054555776</v>
      </c>
      <c r="C12" s="282">
        <f>'Privé - Contravention'!$B$8+'Privé - Permis, etc'!$C$6+'Privé - Permis, etc'!$C$7+'Caché - Accident'!$B$6</f>
        <v>535.79560301458696</v>
      </c>
      <c r="D12" s="282">
        <f>'Privé - Temps'!B28</f>
        <v>2397.8154448841015</v>
      </c>
      <c r="E12" s="282">
        <f>'Indirect - Prov. &amp; Féd.'!$B$8+'Indirect - Prov. &amp; Féd.'!$B$10+'Indirect - Villes'!K22+'Indirect - Villes'!S22</f>
        <v>6072.668086064813</v>
      </c>
      <c r="F12" s="53">
        <f>'Caché - GES'!B25</f>
        <v>764.63166524121289</v>
      </c>
      <c r="G12" s="53">
        <f>'Caché - Congestion'!F34</f>
        <v>2271.8557423159345</v>
      </c>
      <c r="H12" s="282">
        <f>'Caché - Accident'!$B$7+'Caché - Emprise spatiale'!L26+'Caché - Emprise spatiale'!P26+'Caché - Emprise spatiale'!I70</f>
        <v>2677.9032698585384</v>
      </c>
      <c r="I12" s="54">
        <f t="shared" si="0"/>
        <v>6388.2506533542655</v>
      </c>
      <c r="J12" s="54">
        <f t="shared" si="1"/>
        <v>11787.058763480498</v>
      </c>
      <c r="K12" s="54">
        <f t="shared" si="2"/>
        <v>1.8451152597294365</v>
      </c>
      <c r="L12" s="54">
        <f>I12/('Clés de répartition'!F102*2*'Privé - Temps'!$B$11)</f>
        <v>0.90903231114486027</v>
      </c>
      <c r="M12" s="54">
        <f>J12/('Clés de répartition'!F102*2*'Privé - Temps'!$B$11)</f>
        <v>1.6772693888804988</v>
      </c>
      <c r="N12" s="366">
        <f t="shared" si="3"/>
        <v>1.1131928039943724</v>
      </c>
      <c r="Q12" s="53"/>
      <c r="R12" s="308"/>
      <c r="S12" s="308"/>
      <c r="T12" s="327"/>
      <c r="V12" s="292"/>
      <c r="W12" s="292"/>
      <c r="X12" s="292"/>
      <c r="AB12" s="54"/>
      <c r="AC12" s="53"/>
      <c r="AD12" s="282"/>
      <c r="AE12" s="54"/>
      <c r="AH12" s="16"/>
    </row>
    <row r="13" spans="1:34">
      <c r="A13" s="347" t="e" vm="10">
        <v>#VALUE!</v>
      </c>
      <c r="B13" s="282">
        <f>'Privé - Achat&amp;Utilisation'!B28+'Privé - Achat&amp;Utilisation'!C75</f>
        <v>3389.1862177148732</v>
      </c>
      <c r="C13" s="282">
        <f>'Privé - Contravention'!$B$8+'Privé - Permis, etc'!$C$6+'Privé - Permis, etc'!$C$7+'Caché - Accident'!$B$6</f>
        <v>535.79560301458696</v>
      </c>
      <c r="D13" s="282">
        <f>'Privé - Temps'!B29</f>
        <v>2374.7582261113903</v>
      </c>
      <c r="E13" s="282">
        <f>'Indirect - Prov. &amp; Féd.'!$B$8+'Indirect - Prov. &amp; Féd.'!$B$10+'Indirect - Villes'!K23+'Indirect - Villes'!S23</f>
        <v>3626.6995272403651</v>
      </c>
      <c r="F13" s="53">
        <f>'Caché - GES'!B26</f>
        <v>710.07475269977692</v>
      </c>
      <c r="G13" s="53">
        <f>'Caché - Congestion'!F35</f>
        <v>2038.4261403082207</v>
      </c>
      <c r="H13" s="282">
        <f>'Caché - Accident'!$B$7+'Caché - Emprise spatiale'!L27+'Caché - Emprise spatiale'!P27+'Caché - Emprise spatiale'!I71</f>
        <v>5016.851569026765</v>
      </c>
      <c r="I13" s="54">
        <f t="shared" si="0"/>
        <v>6299.7400468408505</v>
      </c>
      <c r="J13" s="54">
        <f t="shared" si="1"/>
        <v>11392.051989275129</v>
      </c>
      <c r="K13" s="54">
        <f t="shared" si="2"/>
        <v>1.8083368368489958</v>
      </c>
      <c r="L13" s="54">
        <f>I13/('Clés de répartition'!F103*2*'Privé - Temps'!$B$11)</f>
        <v>1.0185530612500007</v>
      </c>
      <c r="M13" s="54">
        <f>J13/('Clés de répartition'!F103*2*'Privé - Temps'!$B$11)</f>
        <v>1.8418870209436879</v>
      </c>
      <c r="N13" s="366">
        <f t="shared" si="3"/>
        <v>1.2224484576408312</v>
      </c>
      <c r="Q13" s="53"/>
      <c r="R13" s="308"/>
      <c r="S13" s="308"/>
      <c r="T13" s="327"/>
      <c r="V13" s="292"/>
      <c r="W13" s="292"/>
      <c r="X13" s="292"/>
      <c r="AB13" s="54"/>
      <c r="AC13" s="53"/>
      <c r="AD13" s="282"/>
      <c r="AE13" s="54"/>
      <c r="AH13" s="16"/>
    </row>
    <row r="14" spans="1:34">
      <c r="A14" s="347" t="e" vm="11">
        <v>#VALUE!</v>
      </c>
      <c r="B14" s="282">
        <f>'Privé - Achat&amp;Utilisation'!B29+'Privé - Achat&amp;Utilisation'!C76</f>
        <v>2837.402392789013</v>
      </c>
      <c r="C14" s="282">
        <f>'Privé - Contravention'!$B$8+'Privé - Permis, etc'!$C$6+'Privé - Permis, etc'!$C$7+'Caché - Accident'!$B$6</f>
        <v>535.79560301458696</v>
      </c>
      <c r="D14" s="282">
        <f>'Privé - Temps'!B30</f>
        <v>1825.1107437201449</v>
      </c>
      <c r="E14" s="282">
        <f>'Indirect - Prov. &amp; Féd.'!$B$8+'Indirect - Prov. &amp; Féd.'!$B$10+'Indirect - Villes'!K24+'Indirect - Villes'!S24</f>
        <v>3004.3733730273202</v>
      </c>
      <c r="F14" s="53">
        <f>'Caché - GES'!B27</f>
        <v>560.56166162094178</v>
      </c>
      <c r="G14" s="53">
        <f>'Caché - Congestion'!F36</f>
        <v>1352.0247028253732</v>
      </c>
      <c r="H14" s="282">
        <f>'Caché - Accident'!$B$7+'Caché - Emprise spatiale'!L28+'Caché - Emprise spatiale'!P28+'Caché - Emprise spatiale'!I72</f>
        <v>7687.8793032209878</v>
      </c>
      <c r="I14" s="54">
        <f t="shared" si="0"/>
        <v>5198.3087395237453</v>
      </c>
      <c r="J14" s="54">
        <f t="shared" si="1"/>
        <v>12604.839040694624</v>
      </c>
      <c r="K14" s="54">
        <f t="shared" si="2"/>
        <v>2.4247961543448926</v>
      </c>
      <c r="L14" s="54">
        <f>I14/('Clés de répartition'!F104*2*'Privé - Temps'!$B$11)</f>
        <v>1.039747706927947</v>
      </c>
      <c r="M14" s="54">
        <f>J14/('Clés de répartition'!F104*2*'Privé - Temps'!$B$11)</f>
        <v>2.5211762412478063</v>
      </c>
      <c r="N14" s="366">
        <f t="shared" si="3"/>
        <v>1.6732883029790975</v>
      </c>
      <c r="O14" t="s">
        <v>632</v>
      </c>
      <c r="Q14" s="53"/>
      <c r="R14" s="308"/>
      <c r="S14" s="308"/>
      <c r="T14" s="327"/>
      <c r="V14" s="292"/>
      <c r="W14" s="292"/>
      <c r="X14" s="292"/>
      <c r="AB14" s="54"/>
      <c r="AC14" s="53"/>
      <c r="AD14" s="282"/>
      <c r="AE14" s="54"/>
      <c r="AH14" s="16"/>
    </row>
    <row r="15" spans="1:34">
      <c r="A15" s="347" t="e" vm="12">
        <v>#VALUE!</v>
      </c>
      <c r="B15" s="282">
        <f>'Privé - Achat&amp;Utilisation'!B30+'Privé - Achat&amp;Utilisation'!C77</f>
        <v>3885.8991582836993</v>
      </c>
      <c r="C15" s="282">
        <f>'Privé - Contravention'!$B$8+'Privé - Permis, etc'!$C$6+'Privé - Permis, etc'!$C$7+'Caché - Accident'!$B$6</f>
        <v>535.79560301458696</v>
      </c>
      <c r="D15" s="282">
        <f>'Privé - Temps'!B31</f>
        <v>1776.2043427104782</v>
      </c>
      <c r="E15" s="282">
        <f>'Indirect - Prov. &amp; Féd.'!$B$8+'Indirect - Prov. &amp; Féd.'!$B$10+'Indirect - Villes'!K25+'Indirect - Villes'!S25</f>
        <v>2860.5271559525104</v>
      </c>
      <c r="F15" s="53">
        <f>'Caché - GES'!B28</f>
        <v>636.62314126865397</v>
      </c>
      <c r="G15" s="53">
        <f>'Caché - Congestion'!F37</f>
        <v>1277.0643049730586</v>
      </c>
      <c r="H15" s="282">
        <f>'Caché - Accident'!$B$7+'Caché - Emprise spatiale'!L29+'Caché - Emprise spatiale'!P29+'Caché - Emprise spatiale'!I73</f>
        <v>3350.6953696109258</v>
      </c>
      <c r="I15" s="54">
        <f t="shared" si="0"/>
        <v>6197.899104008764</v>
      </c>
      <c r="J15" s="54">
        <f t="shared" si="1"/>
        <v>8124.9099718051484</v>
      </c>
      <c r="K15" s="54">
        <f t="shared" si="2"/>
        <v>1.3109135588460943</v>
      </c>
      <c r="L15" s="54">
        <f>I15/('Clés de répartition'!F105*2*'Privé - Temps'!$B$11)</f>
        <v>0.98360244305463729</v>
      </c>
      <c r="M15" s="54">
        <f>J15/('Clés de répartition'!F105*2*'Privé - Temps'!$B$11)</f>
        <v>1.2894177791144674</v>
      </c>
      <c r="N15" s="366">
        <f t="shared" si="3"/>
        <v>0.85577820865774878</v>
      </c>
      <c r="Q15" s="53"/>
      <c r="R15" s="308"/>
      <c r="S15" s="308"/>
      <c r="T15" s="327"/>
      <c r="V15" s="292"/>
      <c r="W15" s="292"/>
      <c r="X15" s="292"/>
      <c r="AB15" s="54"/>
      <c r="AC15" s="53"/>
      <c r="AD15" s="282"/>
      <c r="AE15" s="54"/>
      <c r="AH15" s="16"/>
    </row>
    <row r="16" spans="1:34">
      <c r="A16" s="347" t="e" vm="13">
        <v>#VALUE!</v>
      </c>
      <c r="B16" s="282">
        <f>'Privé - Achat&amp;Utilisation'!B31+'Privé - Achat&amp;Utilisation'!C78</f>
        <v>5427.0358731104707</v>
      </c>
      <c r="C16" s="282">
        <f>'Privé - Contravention'!$B$8+'Privé - Permis, etc'!$C$6+'Privé - Permis, etc'!$C$7+'Caché - Accident'!$B$6</f>
        <v>535.79560301458696</v>
      </c>
      <c r="D16" s="282">
        <f>'Privé - Temps'!B32</f>
        <v>2209.2050034537697</v>
      </c>
      <c r="E16" s="282">
        <f>'Indirect - Prov. &amp; Féd.'!$B$8+'Indirect - Prov. &amp; Féd.'!$B$10+'Indirect - Villes'!K26+'Indirect - Villes'!S26</f>
        <v>2995.7696309232474</v>
      </c>
      <c r="F16" s="53">
        <f>'Caché - GES'!B29</f>
        <v>900.78697809153255</v>
      </c>
      <c r="G16" s="53">
        <f>'Caché - Congestion'!F38</f>
        <v>1202.3098673322488</v>
      </c>
      <c r="H16" s="282">
        <f>'Caché - Accident'!$B$7+'Caché - Emprise spatiale'!L30+'Caché - Emprise spatiale'!P30+'Caché - Emprise spatiale'!I74</f>
        <v>2109.4344098962097</v>
      </c>
      <c r="I16" s="54">
        <f t="shared" si="0"/>
        <v>8172.0364795788273</v>
      </c>
      <c r="J16" s="54">
        <f t="shared" si="1"/>
        <v>7208.300886243238</v>
      </c>
      <c r="K16" s="54">
        <f t="shared" si="2"/>
        <v>0.88206910287981743</v>
      </c>
      <c r="L16" s="54">
        <f>I16/('Clés de répartition'!F106*2*'Privé - Temps'!$B$11)</f>
        <v>0.86720981049155299</v>
      </c>
      <c r="M16" s="54">
        <f>J16/('Clés de répartition'!F106*2*'Privé - Temps'!$B$11)</f>
        <v>0.7649389795488607</v>
      </c>
      <c r="N16" s="366">
        <f t="shared" si="3"/>
        <v>0.50768503448151769</v>
      </c>
      <c r="Q16" s="53"/>
      <c r="R16" s="308"/>
      <c r="S16" s="308"/>
      <c r="T16" s="327"/>
      <c r="V16" s="292"/>
      <c r="W16" s="292"/>
      <c r="X16" s="292"/>
      <c r="AB16" s="54"/>
      <c r="AC16" s="53"/>
      <c r="AD16" s="282"/>
      <c r="AE16" s="54"/>
      <c r="AH16" s="16"/>
    </row>
    <row r="17" spans="1:34">
      <c r="A17" s="347" t="e" vm="14">
        <v>#VALUE!</v>
      </c>
      <c r="B17" s="282">
        <f>'Privé - Achat&amp;Utilisation'!B32+'Privé - Achat&amp;Utilisation'!C79</f>
        <v>7961.2997098110955</v>
      </c>
      <c r="C17" s="282">
        <f>'Privé - Contravention'!$B$8+'Privé - Permis, etc'!$C$6+'Privé - Permis, etc'!$C$7+'Caché - Accident'!$B$6</f>
        <v>535.79560301458696</v>
      </c>
      <c r="D17" s="282">
        <f>'Privé - Temps'!B33</f>
        <v>2724.0528642408317</v>
      </c>
      <c r="E17" s="282">
        <f>'Indirect - Prov. &amp; Féd.'!$B$8+'Indirect - Prov. &amp; Féd.'!$B$10+'Indirect - Villes'!K27+'Indirect - Villes'!S27</f>
        <v>3624.5812248674652</v>
      </c>
      <c r="F17" s="53">
        <f>'Caché - GES'!B30</f>
        <v>1189.6515104810921</v>
      </c>
      <c r="G17" s="53">
        <f>'Caché - Congestion'!F39</f>
        <v>1481.8879641507174</v>
      </c>
      <c r="H17" s="282">
        <f>'Caché - Accident'!$B$7+'Caché - Emprise spatiale'!L31+'Caché - Emprise spatiale'!P31+'Caché - Emprise spatiale'!I75</f>
        <v>2058.6402026712603</v>
      </c>
      <c r="I17" s="54">
        <f t="shared" si="0"/>
        <v>11221.148177066514</v>
      </c>
      <c r="J17" s="54">
        <f t="shared" si="1"/>
        <v>8354.7609021705357</v>
      </c>
      <c r="K17" s="54">
        <f t="shared" si="2"/>
        <v>0.74455490385964018</v>
      </c>
      <c r="L17" s="54">
        <f>I17/('Clés de répartition'!F107*2*'Privé - Temps'!$B$11)</f>
        <v>0.88310316538396227</v>
      </c>
      <c r="M17" s="54">
        <f>J17/('Clés de répartition'!F107*2*'Privé - Temps'!$B$11)</f>
        <v>0.65751879240060007</v>
      </c>
      <c r="N17" s="366">
        <f t="shared" si="3"/>
        <v>0.43639095367975311</v>
      </c>
      <c r="Q17" s="53"/>
      <c r="R17" s="308"/>
      <c r="S17" s="308"/>
      <c r="T17" s="327"/>
      <c r="V17" s="292"/>
      <c r="W17" s="292"/>
      <c r="X17" s="292"/>
      <c r="AB17" s="54"/>
      <c r="AC17" s="53"/>
      <c r="AD17" s="282"/>
      <c r="AE17" s="54"/>
      <c r="AH17" s="16"/>
    </row>
    <row r="18" spans="1:34">
      <c r="A18" s="347" t="e" vm="15">
        <v>#VALUE!</v>
      </c>
      <c r="B18" s="282">
        <f>'Privé - Achat&amp;Utilisation'!B33+'Privé - Achat&amp;Utilisation'!C80</f>
        <v>2443.3249441351109</v>
      </c>
      <c r="C18" s="282">
        <f>'Privé - Contravention'!$B$8+'Privé - Permis, etc'!$C$6+'Privé - Permis, etc'!$C$7+'Caché - Accident'!$B$6</f>
        <v>535.79560301458696</v>
      </c>
      <c r="D18" s="282">
        <f>'Privé - Temps'!B34</f>
        <v>1701.09921966355</v>
      </c>
      <c r="E18" s="282">
        <f>'Indirect - Prov. &amp; Féd.'!$B$8+'Indirect - Prov. &amp; Féd.'!$B$10+'Indirect - Villes'!K28+'Indirect - Villes'!S28</f>
        <v>3665.9934988164364</v>
      </c>
      <c r="F18" s="53">
        <f>'Caché - GES'!B31</f>
        <v>476.23642313910744</v>
      </c>
      <c r="G18" s="53">
        <f>'Caché - Congestion'!F40</f>
        <v>1649.7972222023725</v>
      </c>
      <c r="H18" s="282">
        <f>'Caché - Accident'!$B$7+'Caché - Emprise spatiale'!L32+'Caché - Emprise spatiale'!P32+'Caché - Emprise spatiale'!I76</f>
        <v>7937.441154575894</v>
      </c>
      <c r="I18" s="54">
        <f t="shared" si="0"/>
        <v>4680.2197668132476</v>
      </c>
      <c r="J18" s="54">
        <f t="shared" si="1"/>
        <v>13729.468298733809</v>
      </c>
      <c r="K18" s="54">
        <f t="shared" si="2"/>
        <v>2.9335093185340262</v>
      </c>
      <c r="L18" s="54">
        <f>I18/('Clés de répartition'!F108*2*'Privé - Temps'!$B$11)</f>
        <v>1.2064776821137846</v>
      </c>
      <c r="M18" s="54">
        <f>J18/('Clés de répartition'!F108*2*'Privé - Temps'!$B$11)</f>
        <v>3.5392135230841202</v>
      </c>
      <c r="N18" s="366">
        <f t="shared" si="3"/>
        <v>2.3489530374881933</v>
      </c>
      <c r="O18" t="s">
        <v>632</v>
      </c>
      <c r="Q18" s="53"/>
      <c r="R18" s="308"/>
      <c r="S18" s="308"/>
      <c r="T18" s="327"/>
      <c r="V18" s="292"/>
      <c r="W18" s="292"/>
      <c r="X18" s="292"/>
      <c r="AB18" s="54"/>
      <c r="AC18" s="53"/>
      <c r="AD18" s="282"/>
      <c r="AE18" s="54"/>
      <c r="AH18" s="16"/>
    </row>
    <row r="19" spans="1:34">
      <c r="A19" s="107" t="s">
        <v>585</v>
      </c>
      <c r="B19" s="325"/>
      <c r="C19" s="325"/>
      <c r="D19" s="325"/>
      <c r="E19" s="325"/>
      <c r="F19" s="269"/>
      <c r="G19" s="269"/>
      <c r="H19" s="269"/>
      <c r="I19" s="326"/>
      <c r="J19" s="326"/>
      <c r="K19" s="326"/>
      <c r="L19" s="326"/>
      <c r="M19" s="326"/>
      <c r="N19" s="326"/>
      <c r="Q19" s="53"/>
      <c r="R19" s="308"/>
      <c r="S19" s="308"/>
      <c r="T19" s="327"/>
      <c r="V19" s="292"/>
      <c r="W19" s="292"/>
      <c r="X19" s="292"/>
      <c r="AB19" s="54"/>
      <c r="AC19" s="53"/>
      <c r="AD19" s="282"/>
      <c r="AE19" s="54"/>
      <c r="AH19" s="16"/>
    </row>
    <row r="20" spans="1:34" ht="17">
      <c r="A20" s="66" t="e" vm="16">
        <v>#VALUE!</v>
      </c>
      <c r="B20" s="282">
        <f>'Privé - Achat&amp;Utilisation'!B35+'Privé - Achat&amp;Utilisation'!C82</f>
        <v>2988.8943425627385</v>
      </c>
      <c r="C20" s="282">
        <f>'Privé - Contravention'!$B$8+'Privé - Permis, etc'!$C$6+'Privé - Permis, etc'!$C$7+'Caché - Accident'!$B$6</f>
        <v>535.79560301458696</v>
      </c>
      <c r="D20" s="282">
        <f>'Privé - Temps'!B36</f>
        <v>2179.4427097478001</v>
      </c>
      <c r="E20" s="282">
        <f>'Indirect - Prov. &amp; Féd.'!$B$8+'Indirect - Prov. &amp; Féd.'!$B$10+'Indirect - Villes'!K30+'Indirect - Villes'!S30</f>
        <v>2909.1846754144062</v>
      </c>
      <c r="F20" s="53">
        <f>'Caché - GES'!B33</f>
        <v>647.09501650522634</v>
      </c>
      <c r="G20" s="53">
        <f>'Caché - Congestion'!F42</f>
        <v>2062.5011250004427</v>
      </c>
      <c r="H20" s="282">
        <f>'Caché - Accident'!$B$7+'Caché - Emprise spatiale'!L34+'Caché - Emprise spatiale'!P34+'Caché - Emprise spatiale'!I78</f>
        <v>3812.2942707123148</v>
      </c>
      <c r="I20" s="54">
        <f t="shared" ref="I20:I38" si="4">SUM(B20:D20)</f>
        <v>5704.1326553251256</v>
      </c>
      <c r="J20" s="54">
        <f>SUM(E20:H20)</f>
        <v>9431.0750876323909</v>
      </c>
      <c r="K20" s="54">
        <f t="shared" si="2"/>
        <v>1.6533758342432581</v>
      </c>
      <c r="L20" s="54">
        <f>I20/('Clés de répartition'!F110*2*'Privé - Temps'!$B$11)</f>
        <v>1.0186624991479851</v>
      </c>
      <c r="M20" s="54">
        <f>J20/('Clés de répartition'!F110*2*'Privé - Temps'!$B$11)</f>
        <v>1.6842319593411221</v>
      </c>
      <c r="N20" s="366">
        <f t="shared" si="3"/>
        <v>1.117813816805703</v>
      </c>
      <c r="Q20" s="53"/>
      <c r="R20" s="308"/>
      <c r="S20" s="308"/>
      <c r="T20" s="327"/>
      <c r="V20" s="292"/>
      <c r="W20" s="292"/>
      <c r="X20" s="292"/>
      <c r="AB20" s="54"/>
      <c r="AC20" s="53"/>
      <c r="AD20" s="282"/>
      <c r="AE20" s="54"/>
      <c r="AH20" s="16"/>
    </row>
    <row r="21" spans="1:34" ht="17">
      <c r="A21" s="66" t="e" vm="17">
        <v>#VALUE!</v>
      </c>
      <c r="B21" s="282">
        <f>'Privé - Achat&amp;Utilisation'!B36+'Privé - Achat&amp;Utilisation'!C83</f>
        <v>3264.912506714978</v>
      </c>
      <c r="C21" s="282">
        <f>'Privé - Contravention'!$B$8+'Privé - Permis, etc'!$C$6+'Privé - Permis, etc'!$C$7+'Caché - Accident'!$B$6</f>
        <v>535.79560301458696</v>
      </c>
      <c r="D21" s="282">
        <f>'Privé - Temps'!B37</f>
        <v>2228.0171633061182</v>
      </c>
      <c r="E21" s="282">
        <f>'Indirect - Prov. &amp; Féd.'!$B$8+'Indirect - Prov. &amp; Féd.'!$B$10+'Indirect - Villes'!K31+'Indirect - Villes'!S31</f>
        <v>2923.8028105185326</v>
      </c>
      <c r="F21" s="53">
        <f>'Caché - GES'!B34</f>
        <v>700.87255344446498</v>
      </c>
      <c r="G21" s="53">
        <f>'Caché - Congestion'!F43</f>
        <v>2616.8635372896692</v>
      </c>
      <c r="H21" s="282">
        <f>'Caché - Accident'!$B$7+'Caché - Emprise spatiale'!L35+'Caché - Emprise spatiale'!P35+'Caché - Emprise spatiale'!I79</f>
        <v>3420.0401752222019</v>
      </c>
      <c r="I21" s="54">
        <f t="shared" si="4"/>
        <v>6028.7252730356831</v>
      </c>
      <c r="J21" s="54">
        <f t="shared" si="1"/>
        <v>9661.579076474869</v>
      </c>
      <c r="K21" s="54">
        <f t="shared" si="2"/>
        <v>1.6025907034921019</v>
      </c>
      <c r="L21" s="54">
        <f>I21/('Clés de répartition'!F111*2*'Privé - Temps'!$B$11)</f>
        <v>0.94579406340673977</v>
      </c>
      <c r="M21" s="54">
        <f>J21/('Clés de répartition'!F111*2*'Privé - Temps'!$B$11)</f>
        <v>1.5157207734336606</v>
      </c>
      <c r="N21" s="366">
        <f t="shared" si="3"/>
        <v>1.0059740367510819</v>
      </c>
      <c r="Q21" s="53"/>
      <c r="R21" s="308"/>
      <c r="S21" s="308"/>
      <c r="T21" s="327"/>
      <c r="V21" s="292"/>
      <c r="W21" s="292"/>
      <c r="X21" s="292"/>
      <c r="AB21" s="54"/>
      <c r="AC21" s="53"/>
      <c r="AD21" s="282"/>
      <c r="AE21" s="54"/>
      <c r="AH21" s="16"/>
    </row>
    <row r="22" spans="1:34">
      <c r="A22" s="87" t="e" vm="18">
        <v>#VALUE!</v>
      </c>
      <c r="B22" s="282">
        <f>'Privé - Achat&amp;Utilisation'!B37+'Privé - Achat&amp;Utilisation'!C84</f>
        <v>2414.1396862792271</v>
      </c>
      <c r="C22" s="282">
        <f>'Privé - Contravention'!$B$8+'Privé - Permis, etc'!$C$6+'Privé - Permis, etc'!$C$7+'Caché - Accident'!$B$6</f>
        <v>535.79560301458696</v>
      </c>
      <c r="D22" s="282">
        <f>'Privé - Temps'!B38</f>
        <v>1871.9958823310963</v>
      </c>
      <c r="E22" s="282">
        <f>'Indirect - Prov. &amp; Féd.'!$B$8+'Indirect - Prov. &amp; Féd.'!$B$10+'Indirect - Villes'!K32+'Indirect - Villes'!S32</f>
        <v>2878.1195837757018</v>
      </c>
      <c r="F22" s="53">
        <f>'Caché - GES'!B35</f>
        <v>553.56789588768027</v>
      </c>
      <c r="G22" s="53">
        <f>'Caché - Congestion'!F44</f>
        <v>1668.8287010727363</v>
      </c>
      <c r="H22" s="282">
        <f>'Caché - Accident'!$B$7+'Caché - Emprise spatiale'!L36+'Caché - Emprise spatiale'!P36+'Caché - Emprise spatiale'!I80</f>
        <v>3439.573943737284</v>
      </c>
      <c r="I22" s="54">
        <f t="shared" si="4"/>
        <v>4821.9311716249103</v>
      </c>
      <c r="J22" s="54">
        <f t="shared" si="1"/>
        <v>8540.0901244734014</v>
      </c>
      <c r="K22" s="54">
        <f t="shared" si="2"/>
        <v>1.7710933276543501</v>
      </c>
      <c r="L22" s="54">
        <f>I22/('Clés de répartition'!F112*2*'Privé - Temps'!$B$11)</f>
        <v>1.0104575359127523</v>
      </c>
      <c r="M22" s="54">
        <f>J22/('Clés de répartition'!F112*2*'Privé - Temps'!$B$11)</f>
        <v>1.7896145997331314</v>
      </c>
      <c r="N22" s="366">
        <f t="shared" si="3"/>
        <v>1.1877555910537929</v>
      </c>
      <c r="P22" s="54"/>
      <c r="Q22" s="53"/>
      <c r="R22" s="308"/>
      <c r="S22" s="308"/>
      <c r="T22" s="327"/>
      <c r="V22" s="292"/>
      <c r="W22" s="292"/>
      <c r="X22" s="292"/>
      <c r="AB22" s="54"/>
      <c r="AC22" s="53"/>
      <c r="AD22" s="282"/>
      <c r="AE22" s="54"/>
      <c r="AH22" s="16"/>
    </row>
    <row r="23" spans="1:34">
      <c r="A23" s="63" t="e" vm="19">
        <v>#VALUE!</v>
      </c>
      <c r="B23" s="282">
        <f>'Privé - Achat&amp;Utilisation'!B38+'Privé - Achat&amp;Utilisation'!C85</f>
        <v>5618.2302631731527</v>
      </c>
      <c r="C23" s="282">
        <f>'Privé - Contravention'!$B$8+'Privé - Permis, etc'!$C$6+'Privé - Permis, etc'!$C$7+'Caché - Accident'!$B$6</f>
        <v>535.79560301458696</v>
      </c>
      <c r="D23" s="282">
        <f>'Privé - Temps'!B39</f>
        <v>2606.21093712112</v>
      </c>
      <c r="E23" s="282">
        <f>'Indirect - Prov. &amp; Féd.'!$B$8+'Indirect - Prov. &amp; Féd.'!$B$10+'Indirect - Villes'!K33+'Indirect - Villes'!S33</f>
        <v>2974.9826503680733</v>
      </c>
      <c r="F23" s="53">
        <f>'Caché - GES'!B36</f>
        <v>913.1113209320298</v>
      </c>
      <c r="G23" s="53">
        <f>'Caché - Congestion'!F45</f>
        <v>2111.2350065652367</v>
      </c>
      <c r="H23" s="282">
        <f>'Caché - Accident'!$B$7+'Caché - Emprise spatiale'!L37+'Caché - Emprise spatiale'!P37+'Caché - Emprise spatiale'!I81</f>
        <v>1958.4221089392265</v>
      </c>
      <c r="I23" s="54">
        <f t="shared" si="4"/>
        <v>8760.2368033088605</v>
      </c>
      <c r="J23" s="54">
        <f t="shared" si="1"/>
        <v>7957.7510868045665</v>
      </c>
      <c r="K23" s="54">
        <f t="shared" si="2"/>
        <v>0.90839451780559355</v>
      </c>
      <c r="L23" s="54">
        <f>I23/('Clés de répartition'!F113*2*'Privé - Temps'!$B$11)</f>
        <v>0.98137380484801373</v>
      </c>
      <c r="M23" s="54">
        <f>J23/('Clés de répartition'!F113*2*'Privé - Temps'!$B$11)</f>
        <v>0.89147458424195214</v>
      </c>
      <c r="N23" s="366">
        <f t="shared" si="3"/>
        <v>0.59166589380396828</v>
      </c>
      <c r="Q23" s="53"/>
      <c r="R23" s="308"/>
      <c r="S23" s="308"/>
      <c r="T23" s="327"/>
      <c r="V23" s="292"/>
      <c r="W23" s="292"/>
      <c r="X23" s="292"/>
      <c r="AB23" s="54"/>
      <c r="AC23" s="53"/>
      <c r="AD23" s="282"/>
      <c r="AE23" s="54"/>
      <c r="AH23" s="16"/>
    </row>
    <row r="24" spans="1:34">
      <c r="A24" s="63" t="e" vm="20">
        <v>#VALUE!</v>
      </c>
      <c r="B24" s="282">
        <f>'Privé - Achat&amp;Utilisation'!B39+'Privé - Achat&amp;Utilisation'!C86</f>
        <v>3410.0351849389481</v>
      </c>
      <c r="C24" s="282">
        <f>'Privé - Contravention'!$B$8+'Privé - Permis, etc'!$C$6+'Privé - Permis, etc'!$C$7+'Caché - Accident'!$B$6</f>
        <v>535.79560301458696</v>
      </c>
      <c r="D24" s="282">
        <f>'Privé - Temps'!B40</f>
        <v>2218.7742582034516</v>
      </c>
      <c r="E24" s="282">
        <f>'Indirect - Prov. &amp; Féd.'!$B$8+'Indirect - Prov. &amp; Féd.'!$B$10+'Indirect - Villes'!K34+'Indirect - Villes'!S34</f>
        <v>2898.2031256178302</v>
      </c>
      <c r="F24" s="53">
        <f>'Caché - GES'!B37</f>
        <v>710.20635774599691</v>
      </c>
      <c r="G24" s="53">
        <f>'Caché - Congestion'!F46</f>
        <v>1998.7878070575566</v>
      </c>
      <c r="H24" s="282">
        <f>'Caché - Accident'!$B$7+'Caché - Emprise spatiale'!L38+'Caché - Emprise spatiale'!P38+'Caché - Emprise spatiale'!I82</f>
        <v>3163.659915838216</v>
      </c>
      <c r="I24" s="54">
        <f t="shared" si="4"/>
        <v>6164.6050461569866</v>
      </c>
      <c r="J24" s="54">
        <f t="shared" si="1"/>
        <v>8770.8572062595995</v>
      </c>
      <c r="K24" s="54">
        <f t="shared" si="2"/>
        <v>1.4227768268345675</v>
      </c>
      <c r="L24" s="54">
        <f>I24/('Clés de répartition'!F114*2*'Privé - Temps'!$B$11)</f>
        <v>0.94176618880412277</v>
      </c>
      <c r="M24" s="54">
        <f>J24/('Clés de répartition'!F114*2*'Privé - Temps'!$B$11)</f>
        <v>1.3399231097268138</v>
      </c>
      <c r="N24" s="366">
        <f t="shared" si="3"/>
        <v>0.88929826868731054</v>
      </c>
      <c r="P24" s="54"/>
      <c r="Q24" s="53"/>
      <c r="R24" s="308"/>
      <c r="S24" s="308"/>
      <c r="T24" s="327"/>
      <c r="V24" s="292"/>
      <c r="W24" s="292"/>
      <c r="X24" s="292"/>
      <c r="AB24" s="54"/>
      <c r="AC24" s="53"/>
      <c r="AD24" s="282"/>
      <c r="AE24" s="54"/>
      <c r="AH24" s="16"/>
    </row>
    <row r="25" spans="1:34" ht="17">
      <c r="A25" s="66" t="e" vm="21">
        <v>#VALUE!</v>
      </c>
      <c r="B25" s="282">
        <f>'Privé - Achat&amp;Utilisation'!B40+'Privé - Achat&amp;Utilisation'!C87</f>
        <v>3057.7613414357784</v>
      </c>
      <c r="C25" s="282">
        <f>'Privé - Contravention'!$B$8+'Privé - Permis, etc'!$C$6+'Privé - Permis, etc'!$C$7+'Caché - Accident'!$B$6</f>
        <v>535.79560301458696</v>
      </c>
      <c r="D25" s="282">
        <f>'Privé - Temps'!B41</f>
        <v>1883.8173223908734</v>
      </c>
      <c r="E25" s="282">
        <f>'Indirect - Prov. &amp; Féd.'!$B$8+'Indirect - Prov. &amp; Féd.'!$B$10+'Indirect - Villes'!K35+'Indirect - Villes'!S35</f>
        <v>2894.1463525259865</v>
      </c>
      <c r="F25" s="53">
        <f>'Caché - GES'!B38</f>
        <v>642.00488842356765</v>
      </c>
      <c r="G25" s="53">
        <f>'Caché - Congestion'!F47</f>
        <v>1653.0087683418924</v>
      </c>
      <c r="H25" s="282">
        <f>'Caché - Accident'!$B$7+'Caché - Emprise spatiale'!L39+'Caché - Emprise spatiale'!P39+'Caché - Emprise spatiale'!I83</f>
        <v>3394.9507707330499</v>
      </c>
      <c r="I25" s="54">
        <f t="shared" si="4"/>
        <v>5477.3742668412388</v>
      </c>
      <c r="J25" s="54">
        <f t="shared" si="1"/>
        <v>8584.1107800244972</v>
      </c>
      <c r="K25" s="54">
        <f t="shared" si="2"/>
        <v>1.5671944917094172</v>
      </c>
      <c r="L25" s="54">
        <f>I25/('Clés de répartition'!F115*2*'Privé - Temps'!$B$11)</f>
        <v>0.88708577725229154</v>
      </c>
      <c r="M25" s="54">
        <f>J25/('Clés de répartition'!F115*2*'Privé - Temps'!$B$11)</f>
        <v>1.3902359437835583</v>
      </c>
      <c r="N25" s="366">
        <f t="shared" si="3"/>
        <v>0.92269057000267263</v>
      </c>
      <c r="Q25" s="53"/>
      <c r="R25" s="308"/>
      <c r="S25" s="308"/>
      <c r="T25" s="327"/>
      <c r="V25" s="292"/>
      <c r="W25" s="292"/>
      <c r="X25" s="292"/>
      <c r="AB25" s="54"/>
      <c r="AC25" s="53"/>
      <c r="AD25" s="282"/>
      <c r="AE25" s="54"/>
      <c r="AH25" s="16"/>
    </row>
    <row r="26" spans="1:34">
      <c r="A26" s="63" t="e" vm="22">
        <v>#VALUE!</v>
      </c>
      <c r="B26" s="282">
        <f>'Privé - Achat&amp;Utilisation'!B41+'Privé - Achat&amp;Utilisation'!C88</f>
        <v>2826.7152217926923</v>
      </c>
      <c r="C26" s="282">
        <f>'Privé - Contravention'!$B$8+'Privé - Permis, etc'!$C$6+'Privé - Permis, etc'!$C$7+'Caché - Accident'!$B$6</f>
        <v>535.79560301458696</v>
      </c>
      <c r="D26" s="282">
        <f>'Privé - Temps'!B42</f>
        <v>2207.4301725420814</v>
      </c>
      <c r="E26" s="282">
        <f>'Indirect - Prov. &amp; Féd.'!$B$8+'Indirect - Prov. &amp; Féd.'!$B$10+'Indirect - Villes'!K36+'Indirect - Villes'!S36</f>
        <v>2884.2271595581019</v>
      </c>
      <c r="F26" s="53">
        <f>'Caché - GES'!B39</f>
        <v>660.03216133984404</v>
      </c>
      <c r="G26" s="53">
        <f>'Caché - Congestion'!F48</f>
        <v>2312.7726246810362</v>
      </c>
      <c r="H26" s="282">
        <f>'Caché - Accident'!$B$7+'Caché - Emprise spatiale'!L40+'Caché - Emprise spatiale'!P40+'Caché - Emprise spatiale'!I84</f>
        <v>3266.4497675507891</v>
      </c>
      <c r="I26" s="54">
        <f t="shared" si="4"/>
        <v>5569.9409973493603</v>
      </c>
      <c r="J26" s="54">
        <f t="shared" si="1"/>
        <v>9123.4817131297714</v>
      </c>
      <c r="K26" s="54">
        <f t="shared" si="2"/>
        <v>1.637985342658294</v>
      </c>
      <c r="L26" s="54">
        <f>I26/('Clés de répartition'!F116*2*'Privé - Temps'!$B$11)</f>
        <v>0.96885015314178413</v>
      </c>
      <c r="M26" s="54">
        <f>J26/('Clés de répartition'!F116*2*'Privé - Temps'!$B$11)</f>
        <v>1.5869623500784857</v>
      </c>
      <c r="N26" s="366">
        <f t="shared" si="3"/>
        <v>1.0532566086456097</v>
      </c>
      <c r="P26" s="53"/>
      <c r="Q26" s="53"/>
      <c r="R26" s="308"/>
      <c r="S26" s="308"/>
      <c r="T26" s="327"/>
      <c r="V26" s="292"/>
      <c r="W26" s="292"/>
      <c r="X26" s="292"/>
      <c r="AB26" s="54"/>
      <c r="AC26" s="53"/>
      <c r="AD26" s="282"/>
      <c r="AE26" s="54"/>
      <c r="AH26" s="16"/>
    </row>
    <row r="27" spans="1:34">
      <c r="A27" s="63" t="e" vm="23">
        <v>#VALUE!</v>
      </c>
      <c r="B27" s="282">
        <f>'Privé - Achat&amp;Utilisation'!B42+'Privé - Achat&amp;Utilisation'!C89</f>
        <v>2854.9667410438769</v>
      </c>
      <c r="C27" s="282">
        <f>'Privé - Contravention'!$B$8+'Privé - Permis, etc'!$C$6+'Privé - Permis, etc'!$C$7+'Caché - Accident'!$B$6</f>
        <v>535.79560301458696</v>
      </c>
      <c r="D27" s="282">
        <f>'Privé - Temps'!B43</f>
        <v>2333.7755160538818</v>
      </c>
      <c r="E27" s="282">
        <f>'Indirect - Prov. &amp; Féd.'!$B$8+'Indirect - Prov. &amp; Féd.'!$B$10+'Indirect - Villes'!K37+'Indirect - Villes'!S37</f>
        <v>2911.8294677901354</v>
      </c>
      <c r="F27" s="53">
        <f>'Caché - GES'!B40</f>
        <v>672.48499157437129</v>
      </c>
      <c r="G27" s="53">
        <f>'Caché - Congestion'!F49</f>
        <v>2321.1545698028958</v>
      </c>
      <c r="H27" s="282">
        <f>'Caché - Accident'!$B$7+'Caché - Emprise spatiale'!L41+'Caché - Emprise spatiale'!P41+'Caché - Emprise spatiale'!I85</f>
        <v>2876.8894264923447</v>
      </c>
      <c r="I27" s="54">
        <f t="shared" si="4"/>
        <v>5724.5378601123457</v>
      </c>
      <c r="J27" s="54">
        <f t="shared" si="1"/>
        <v>8782.3584556597471</v>
      </c>
      <c r="K27" s="54">
        <f t="shared" si="2"/>
        <v>1.534160253678083</v>
      </c>
      <c r="L27" s="54">
        <f>I27/('Clés de répartition'!F117*2*'Privé - Temps'!$B$11)</f>
        <v>1.0130866618204044</v>
      </c>
      <c r="M27" s="54">
        <f>J27/('Clés de répartition'!F117*2*'Privé - Temps'!$B$11)</f>
        <v>1.554237290096274</v>
      </c>
      <c r="N27" s="366">
        <f t="shared" si="3"/>
        <v>1.0315371987976798</v>
      </c>
      <c r="Q27" s="53"/>
      <c r="R27" s="308"/>
      <c r="S27" s="308"/>
      <c r="T27" s="327"/>
      <c r="V27" s="292"/>
      <c r="W27" s="292"/>
      <c r="X27" s="292"/>
      <c r="AB27" s="54"/>
      <c r="AC27" s="53"/>
      <c r="AD27" s="282"/>
      <c r="AE27" s="54"/>
      <c r="AH27" s="16"/>
    </row>
    <row r="28" spans="1:34">
      <c r="A28" s="63" t="e" vm="24">
        <v>#VALUE!</v>
      </c>
      <c r="B28" s="282">
        <f>'Privé - Achat&amp;Utilisation'!B43+'Privé - Achat&amp;Utilisation'!C90</f>
        <v>2455.7934399686737</v>
      </c>
      <c r="C28" s="282">
        <f>'Privé - Contravention'!$B$8+'Privé - Permis, etc'!$C$6+'Privé - Permis, etc'!$C$7+'Caché - Accident'!$B$6</f>
        <v>535.79560301458696</v>
      </c>
      <c r="D28" s="282">
        <f>'Privé - Temps'!B44</f>
        <v>1956.5854155496017</v>
      </c>
      <c r="E28" s="282">
        <f>'Indirect - Prov. &amp; Féd.'!$B$8+'Indirect - Prov. &amp; Féd.'!$B$10+'Indirect - Villes'!K38+'Indirect - Villes'!S38</f>
        <v>2865.8826230751997</v>
      </c>
      <c r="F28" s="53">
        <f>'Caché - GES'!B41</f>
        <v>530.90275883166782</v>
      </c>
      <c r="G28" s="53">
        <f>'Caché - Congestion'!F50</f>
        <v>1478.3451247322907</v>
      </c>
      <c r="H28" s="282">
        <f>'Caché - Accident'!$B$7+'Caché - Emprise spatiale'!L42+'Caché - Emprise spatiale'!P42+'Caché - Emprise spatiale'!I86</f>
        <v>6346.650321743251</v>
      </c>
      <c r="I28" s="54">
        <f t="shared" si="4"/>
        <v>4948.1744585328624</v>
      </c>
      <c r="J28" s="54">
        <f t="shared" si="1"/>
        <v>11221.780828382409</v>
      </c>
      <c r="K28" s="54">
        <f t="shared" si="2"/>
        <v>2.2678628092894031</v>
      </c>
      <c r="L28" s="54">
        <f>I28/('Clés de répartition'!F118*2*'Privé - Temps'!$B$11)</f>
        <v>1.1872774545733304</v>
      </c>
      <c r="M28" s="54">
        <f>J28/('Clés de répartition'!F118*2*'Privé - Temps'!$B$11)</f>
        <v>2.6925823835346447</v>
      </c>
      <c r="N28" s="366">
        <f t="shared" si="3"/>
        <v>1.7870494467876659</v>
      </c>
      <c r="O28" t="s">
        <v>632</v>
      </c>
      <c r="Q28" s="53"/>
      <c r="R28" s="308"/>
      <c r="S28" s="308"/>
      <c r="T28" s="327"/>
      <c r="V28" s="292"/>
      <c r="W28" s="292"/>
      <c r="X28" s="292"/>
      <c r="AB28" s="54"/>
      <c r="AC28" s="53"/>
      <c r="AD28" s="282"/>
      <c r="AE28" s="54"/>
      <c r="AH28" s="16"/>
    </row>
    <row r="29" spans="1:34">
      <c r="A29" s="63" t="e" vm="25">
        <v>#VALUE!</v>
      </c>
      <c r="B29" s="282">
        <f>'Privé - Achat&amp;Utilisation'!B44+'Privé - Achat&amp;Utilisation'!C91</f>
        <v>4370.4952266953187</v>
      </c>
      <c r="C29" s="282">
        <f>'Privé - Contravention'!$B$8+'Privé - Permis, etc'!$C$6+'Privé - Permis, etc'!$C$7+'Caché - Accident'!$B$6</f>
        <v>535.79560301458696</v>
      </c>
      <c r="D29" s="282">
        <f>'Privé - Temps'!B45</f>
        <v>2354.5732286729099</v>
      </c>
      <c r="E29" s="282">
        <f>'Indirect - Prov. &amp; Féd.'!$B$8+'Indirect - Prov. &amp; Féd.'!$B$10+'Indirect - Villes'!K39+'Indirect - Villes'!S39</f>
        <v>2878.8180732576971</v>
      </c>
      <c r="F29" s="53">
        <f>'Caché - GES'!B42</f>
        <v>807.94246663528065</v>
      </c>
      <c r="G29" s="53">
        <f>'Caché - Congestion'!F51</f>
        <v>2183.8932140503821</v>
      </c>
      <c r="H29" s="282">
        <f>'Caché - Accident'!$B$7+'Caché - Emprise spatiale'!L43+'Caché - Emprise spatiale'!P43+'Caché - Emprise spatiale'!I87</f>
        <v>2417.0115449974601</v>
      </c>
      <c r="I29" s="54">
        <f t="shared" si="4"/>
        <v>7260.8640583828155</v>
      </c>
      <c r="J29" s="54">
        <f t="shared" si="1"/>
        <v>8287.6652989408194</v>
      </c>
      <c r="K29" s="54">
        <f t="shared" si="2"/>
        <v>1.1414158469710696</v>
      </c>
      <c r="L29" s="54">
        <f>I29/('Clés de répartition'!F119*2*'Privé - Temps'!$B$11)</f>
        <v>0.93053058687406298</v>
      </c>
      <c r="M29" s="54">
        <f>J29/('Clés de répartition'!F119*2*'Privé - Temps'!$B$11)</f>
        <v>1.0621223579493451</v>
      </c>
      <c r="N29" s="366">
        <f t="shared" si="3"/>
        <v>0.70492371330994652</v>
      </c>
      <c r="Q29" s="53"/>
      <c r="R29" s="308"/>
      <c r="S29" s="308"/>
      <c r="T29" s="327"/>
      <c r="V29" s="292"/>
      <c r="W29" s="292"/>
      <c r="X29" s="292"/>
      <c r="AB29" s="54"/>
      <c r="AC29" s="53"/>
      <c r="AD29" s="282"/>
      <c r="AE29" s="54"/>
      <c r="AH29" s="16"/>
    </row>
    <row r="30" spans="1:34">
      <c r="A30" s="63" t="e" vm="26">
        <v>#VALUE!</v>
      </c>
      <c r="B30" s="282">
        <f>'Privé - Achat&amp;Utilisation'!B45+'Privé - Achat&amp;Utilisation'!C92</f>
        <v>2640.3765989679687</v>
      </c>
      <c r="C30" s="282">
        <f>'Privé - Contravention'!$B$8+'Privé - Permis, etc'!$C$6+'Privé - Permis, etc'!$C$7+'Caché - Accident'!$B$6</f>
        <v>535.79560301458696</v>
      </c>
      <c r="D30" s="282">
        <f>'Privé - Temps'!B46</f>
        <v>2326.3389655820183</v>
      </c>
      <c r="E30" s="282">
        <f>'Indirect - Prov. &amp; Féd.'!$B$8+'Indirect - Prov. &amp; Féd.'!$B$10+'Indirect - Villes'!K40+'Indirect - Villes'!S40</f>
        <v>2879.4265570567904</v>
      </c>
      <c r="F30" s="53">
        <f>'Caché - GES'!B43</f>
        <v>653.08948094877712</v>
      </c>
      <c r="G30" s="53">
        <f>'Caché - Congestion'!F52</f>
        <v>1797.9254980499502</v>
      </c>
      <c r="H30" s="282">
        <f>'Caché - Accident'!$B$7+'Caché - Emprise spatiale'!L44+'Caché - Emprise spatiale'!P44+'Caché - Emprise spatiale'!I88</f>
        <v>6622.1451807747144</v>
      </c>
      <c r="I30" s="54">
        <f t="shared" si="4"/>
        <v>5502.511167564574</v>
      </c>
      <c r="J30" s="54">
        <f t="shared" si="1"/>
        <v>11952.586716830232</v>
      </c>
      <c r="K30" s="54">
        <f t="shared" si="2"/>
        <v>2.1722058080111957</v>
      </c>
      <c r="L30" s="54">
        <f>I30/('Clés de répartition'!F120*2*'Privé - Temps'!$B$11)</f>
        <v>1.0311265646260388</v>
      </c>
      <c r="M30" s="54">
        <f>J30/('Clés de répartition'!F120*2*'Privé - Temps'!$B$11)</f>
        <v>2.2398191124753128</v>
      </c>
      <c r="N30" s="366">
        <f t="shared" si="3"/>
        <v>1.4865534032793493</v>
      </c>
      <c r="O30" t="s">
        <v>632</v>
      </c>
      <c r="Q30" s="53"/>
      <c r="R30" s="308"/>
      <c r="S30" s="308"/>
      <c r="T30" s="327"/>
      <c r="V30" s="292"/>
      <c r="W30" s="292"/>
      <c r="X30" s="292"/>
      <c r="AB30" s="54"/>
      <c r="AC30" s="53"/>
      <c r="AD30" s="282"/>
      <c r="AE30" s="54"/>
      <c r="AH30" s="16"/>
    </row>
    <row r="31" spans="1:34">
      <c r="A31" s="63" t="e" vm="27">
        <v>#VALUE!</v>
      </c>
      <c r="B31" s="282">
        <f>'Privé - Achat&amp;Utilisation'!B46+'Privé - Achat&amp;Utilisation'!C93</f>
        <v>4366.6461388965909</v>
      </c>
      <c r="C31" s="282">
        <f>'Privé - Contravention'!$B$8+'Privé - Permis, etc'!$C$6+'Privé - Permis, etc'!$C$7+'Caché - Accident'!$B$6</f>
        <v>535.79560301458696</v>
      </c>
      <c r="D31" s="282">
        <f>'Privé - Temps'!B47</f>
        <v>2571.9129226766736</v>
      </c>
      <c r="E31" s="282">
        <f>'Indirect - Prov. &amp; Féd.'!$B$8+'Indirect - Prov. &amp; Féd.'!$B$10+'Indirect - Villes'!K41+'Indirect - Villes'!S41</f>
        <v>2916.5763120639626</v>
      </c>
      <c r="F31" s="53">
        <f>'Caché - GES'!B44</f>
        <v>855.54596956886348</v>
      </c>
      <c r="G31" s="53">
        <f>'Caché - Congestion'!F53</f>
        <v>2839.2898017310113</v>
      </c>
      <c r="H31" s="282">
        <f>'Caché - Accident'!$B$7+'Caché - Emprise spatiale'!L45+'Caché - Emprise spatiale'!P45+'Caché - Emprise spatiale'!I89</f>
        <v>2624.630340946147</v>
      </c>
      <c r="I31" s="54">
        <f t="shared" si="4"/>
        <v>7474.3546645878514</v>
      </c>
      <c r="J31" s="54">
        <f t="shared" si="1"/>
        <v>9236.0424243099842</v>
      </c>
      <c r="K31" s="54">
        <f t="shared" si="2"/>
        <v>1.2356976406362803</v>
      </c>
      <c r="L31" s="54">
        <f>I31/('Clés de répartition'!F121*2*'Privé - Temps'!$B$11)</f>
        <v>0.92253481074551535</v>
      </c>
      <c r="M31" s="54">
        <f>J31/('Clés de répartition'!F121*2*'Privé - Temps'!$B$11)</f>
        <v>1.1399740890430707</v>
      </c>
      <c r="N31" s="366">
        <f t="shared" si="3"/>
        <v>0.75659340179682966</v>
      </c>
      <c r="Q31" s="53"/>
      <c r="R31" s="308"/>
      <c r="S31" s="308"/>
      <c r="T31" s="327"/>
      <c r="V31" s="292"/>
      <c r="W31" s="292"/>
      <c r="X31" s="292"/>
      <c r="AB31" s="54"/>
      <c r="AC31" s="53"/>
      <c r="AD31" s="282"/>
      <c r="AE31" s="54"/>
      <c r="AH31" s="16"/>
    </row>
    <row r="32" spans="1:34">
      <c r="A32" s="63" t="e" vm="28">
        <v>#VALUE!</v>
      </c>
      <c r="B32" s="282">
        <f>'Privé - Achat&amp;Utilisation'!B47+'Privé - Achat&amp;Utilisation'!C94</f>
        <v>2621.1515629357432</v>
      </c>
      <c r="C32" s="282">
        <f>'Privé - Contravention'!$B$8+'Privé - Permis, etc'!$C$6+'Privé - Permis, etc'!$C$7+'Caché - Accident'!$B$6</f>
        <v>535.79560301458696</v>
      </c>
      <c r="D32" s="282">
        <f>'Privé - Temps'!B48</f>
        <v>2277.8844578823664</v>
      </c>
      <c r="E32" s="282">
        <f>'Indirect - Prov. &amp; Féd.'!$B$8+'Indirect - Prov. &amp; Féd.'!$B$10+'Indirect - Villes'!K42+'Indirect - Villes'!S42</f>
        <v>2889.4200301868173</v>
      </c>
      <c r="F32" s="53">
        <f>'Caché - GES'!B45</f>
        <v>639.68941728914342</v>
      </c>
      <c r="G32" s="53">
        <f>'Caché - Congestion'!F54</f>
        <v>2304.0503195622023</v>
      </c>
      <c r="H32" s="282">
        <f>'Caché - Accident'!$B$7+'Caché - Emprise spatiale'!L46+'Caché - Emprise spatiale'!P46+'Caché - Emprise spatiale'!I90</f>
        <v>4381.9716063431924</v>
      </c>
      <c r="I32" s="54">
        <f t="shared" si="4"/>
        <v>5434.831623832697</v>
      </c>
      <c r="J32" s="54">
        <f t="shared" si="1"/>
        <v>10215.131373381355</v>
      </c>
      <c r="K32" s="54">
        <f t="shared" si="2"/>
        <v>1.879567221289101</v>
      </c>
      <c r="L32" s="54">
        <f>I32/('Clés de répartition'!F122*2*'Privé - Temps'!$B$11)</f>
        <v>1.0394103628284515</v>
      </c>
      <c r="M32" s="54">
        <f>J32/('Clés de répartition'!F122*2*'Privé - Temps'!$B$11)</f>
        <v>1.9536416474405687</v>
      </c>
      <c r="N32" s="366">
        <f t="shared" si="3"/>
        <v>1.2966192776976144</v>
      </c>
      <c r="Q32" s="53"/>
      <c r="R32" s="308"/>
      <c r="S32" s="308"/>
      <c r="T32" s="327"/>
      <c r="V32" s="292"/>
      <c r="W32" s="292"/>
      <c r="X32" s="292"/>
      <c r="AB32" s="54"/>
      <c r="AC32" s="53"/>
      <c r="AD32" s="282"/>
      <c r="AE32" s="54"/>
      <c r="AH32" s="16"/>
    </row>
    <row r="33" spans="1:34">
      <c r="A33" s="63" t="e" vm="29">
        <v>#VALUE!</v>
      </c>
      <c r="B33" s="282">
        <f>'Privé - Achat&amp;Utilisation'!B48+'Privé - Achat&amp;Utilisation'!C95</f>
        <v>3124.6960062421836</v>
      </c>
      <c r="C33" s="282">
        <f>'Privé - Contravention'!$B$8+'Privé - Permis, etc'!$C$6+'Privé - Permis, etc'!$C$7+'Caché - Accident'!$B$6</f>
        <v>535.79560301458696</v>
      </c>
      <c r="D33" s="282">
        <f>'Privé - Temps'!B49</f>
        <v>1982.8745609078119</v>
      </c>
      <c r="E33" s="282">
        <f>'Indirect - Prov. &amp; Féd.'!$B$8+'Indirect - Prov. &amp; Féd.'!$B$10+'Indirect - Villes'!K43+'Indirect - Villes'!S43</f>
        <v>2853.5260831670807</v>
      </c>
      <c r="F33" s="53">
        <f>'Caché - GES'!B46</f>
        <v>618.81743399332606</v>
      </c>
      <c r="G33" s="53">
        <f>'Caché - Congestion'!F55</f>
        <v>1781.8281290968534</v>
      </c>
      <c r="H33" s="282">
        <f>'Caché - Accident'!$B$7+'Caché - Emprise spatiale'!L47+'Caché - Emprise spatiale'!P47+'Caché - Emprise spatiale'!I91</f>
        <v>3488.322844102252</v>
      </c>
      <c r="I33" s="54">
        <f t="shared" si="4"/>
        <v>5643.3661701645824</v>
      </c>
      <c r="J33" s="54">
        <f t="shared" si="1"/>
        <v>8742.4944903595133</v>
      </c>
      <c r="K33" s="54">
        <f t="shared" si="2"/>
        <v>1.5491630751482051</v>
      </c>
      <c r="L33" s="54">
        <f>I33/('Clés de répartition'!F123*2*'Privé - Temps'!$B$11)</f>
        <v>1.0091057259775904</v>
      </c>
      <c r="M33" s="54">
        <f>J33/('Clés de répartition'!F123*2*'Privé - Temps'!$B$11)</f>
        <v>1.5632693296051061</v>
      </c>
      <c r="N33" s="366">
        <f t="shared" si="3"/>
        <v>1.037531704780607</v>
      </c>
      <c r="Q33" s="53"/>
      <c r="R33" s="308"/>
      <c r="S33" s="308"/>
      <c r="T33" s="327"/>
      <c r="V33" s="292"/>
      <c r="W33" s="292"/>
      <c r="X33" s="292"/>
      <c r="AB33" s="54"/>
      <c r="AC33" s="53"/>
      <c r="AD33" s="282"/>
      <c r="AE33" s="54"/>
      <c r="AH33" s="16"/>
    </row>
    <row r="34" spans="1:34">
      <c r="A34" s="63" t="e" vm="30">
        <v>#VALUE!</v>
      </c>
      <c r="B34" s="282">
        <f>'Privé - Achat&amp;Utilisation'!B49+'Privé - Achat&amp;Utilisation'!C96</f>
        <v>2785.4287563870321</v>
      </c>
      <c r="C34" s="282">
        <f>'Privé - Contravention'!$B$8+'Privé - Permis, etc'!$C$6+'Privé - Permis, etc'!$C$7+'Caché - Accident'!$B$6</f>
        <v>535.79560301458696</v>
      </c>
      <c r="D34" s="282">
        <f>'Privé - Temps'!B50</f>
        <v>2189.6859478368347</v>
      </c>
      <c r="E34" s="282">
        <f>'Indirect - Prov. &amp; Féd.'!$B$8+'Indirect - Prov. &amp; Féd.'!$B$10+'Indirect - Villes'!K44+'Indirect - Villes'!S44</f>
        <v>2933.1694558574391</v>
      </c>
      <c r="F34" s="53">
        <f>'Caché - GES'!B47</f>
        <v>643.27398496301009</v>
      </c>
      <c r="G34" s="53">
        <f>'Caché - Congestion'!F56</f>
        <v>2526.3175062496075</v>
      </c>
      <c r="H34" s="282">
        <f>'Caché - Accident'!$B$7+'Caché - Emprise spatiale'!L48+'Caché - Emprise spatiale'!P48+'Caché - Emprise spatiale'!I92</f>
        <v>3241.9117064622669</v>
      </c>
      <c r="I34" s="54">
        <f t="shared" si="4"/>
        <v>5510.9103072384532</v>
      </c>
      <c r="J34" s="54">
        <f t="shared" si="1"/>
        <v>9344.6726535323251</v>
      </c>
      <c r="K34" s="54">
        <f t="shared" si="2"/>
        <v>1.6956677087011041</v>
      </c>
      <c r="L34" s="54">
        <f>I34/('Clés de répartition'!F124*2*'Privé - Temps'!$B$11)</f>
        <v>1.0000764537024376</v>
      </c>
      <c r="M34" s="54">
        <f>J34/('Clés de répartition'!F124*2*'Privé - Temps'!$B$11)</f>
        <v>1.6957973487755382</v>
      </c>
      <c r="N34" s="366">
        <f t="shared" si="3"/>
        <v>1.1254896906868677</v>
      </c>
      <c r="Q34" s="53"/>
      <c r="R34" s="308"/>
      <c r="S34" s="308"/>
      <c r="T34" s="327"/>
      <c r="V34" s="292"/>
      <c r="W34" s="292"/>
      <c r="X34" s="292"/>
      <c r="AB34" s="54"/>
      <c r="AC34" s="53"/>
      <c r="AD34" s="282"/>
      <c r="AE34" s="54"/>
      <c r="AH34" s="16"/>
    </row>
    <row r="35" spans="1:34">
      <c r="A35" s="63" t="e" vm="31">
        <v>#VALUE!</v>
      </c>
      <c r="B35" s="282">
        <f>'Privé - Achat&amp;Utilisation'!B50+'Privé - Achat&amp;Utilisation'!C97</f>
        <v>3029.6739899937911</v>
      </c>
      <c r="C35" s="282">
        <f>'Privé - Contravention'!$B$8+'Privé - Permis, etc'!$C$6+'Privé - Permis, etc'!$C$7+'Caché - Accident'!$B$6</f>
        <v>535.79560301458696</v>
      </c>
      <c r="D35" s="282">
        <f>'Privé - Temps'!B51</f>
        <v>2091.1337669228301</v>
      </c>
      <c r="E35" s="282">
        <f>'Indirect - Prov. &amp; Féd.'!$B$8+'Indirect - Prov. &amp; Féd.'!$B$10+'Indirect - Villes'!K45+'Indirect - Villes'!S45</f>
        <v>2845.1619277865916</v>
      </c>
      <c r="F35" s="53">
        <f>'Caché - GES'!B48</f>
        <v>680.25290174925692</v>
      </c>
      <c r="G35" s="53">
        <f>'Caché - Congestion'!F57</f>
        <v>1882.1604205503656</v>
      </c>
      <c r="H35" s="282">
        <f>'Caché - Accident'!$B$7+'Caché - Emprise spatiale'!L49+'Caché - Emprise spatiale'!P49+'Caché - Emprise spatiale'!I93</f>
        <v>3587.9599009829481</v>
      </c>
      <c r="I35" s="54">
        <f t="shared" si="4"/>
        <v>5656.6033599312086</v>
      </c>
      <c r="J35" s="54">
        <f t="shared" si="1"/>
        <v>8995.5351510691617</v>
      </c>
      <c r="K35" s="54">
        <f t="shared" si="2"/>
        <v>1.5902715072422116</v>
      </c>
      <c r="L35" s="54">
        <f>I35/('Clés de répartition'!F125*2*'Privé - Temps'!$B$11)</f>
        <v>0.89165633353138074</v>
      </c>
      <c r="M35" s="54">
        <f>J35/('Clés de répartition'!F125*2*'Privé - Temps'!$B$11)</f>
        <v>1.4179756614670129</v>
      </c>
      <c r="N35" s="366">
        <f t="shared" si="3"/>
        <v>0.94110124053346189</v>
      </c>
      <c r="Q35" s="53"/>
      <c r="R35" s="308"/>
      <c r="S35" s="308"/>
      <c r="T35" s="327"/>
      <c r="V35" s="292"/>
      <c r="W35" s="292"/>
      <c r="X35" s="292"/>
      <c r="AB35" s="54"/>
      <c r="AC35" s="53"/>
      <c r="AD35" s="282"/>
      <c r="AE35" s="54"/>
      <c r="AH35" s="16"/>
    </row>
    <row r="36" spans="1:34">
      <c r="A36" s="63" t="e" vm="32">
        <v>#VALUE!</v>
      </c>
      <c r="B36" s="282">
        <f>'Privé - Achat&amp;Utilisation'!B51+'Privé - Achat&amp;Utilisation'!C98</f>
        <v>3513.6963782050871</v>
      </c>
      <c r="C36" s="282">
        <f>'Privé - Contravention'!$B$8+'Privé - Permis, etc'!$C$6+'Privé - Permis, etc'!$C$7+'Caché - Accident'!$B$6</f>
        <v>535.79560301458696</v>
      </c>
      <c r="D36" s="282">
        <f>'Privé - Temps'!B52</f>
        <v>2169.472791240767</v>
      </c>
      <c r="E36" s="282">
        <f>'Indirect - Prov. &amp; Féd.'!$B$8+'Indirect - Prov. &amp; Féd.'!$B$10+'Indirect - Villes'!K46+'Indirect - Villes'!S46</f>
        <v>2885.4165411786125</v>
      </c>
      <c r="F36" s="53">
        <f>'Caché - GES'!B49</f>
        <v>713.96768193625189</v>
      </c>
      <c r="G36" s="53">
        <f>'Caché - Congestion'!F58</f>
        <v>2032.0336902434938</v>
      </c>
      <c r="H36" s="282">
        <f>'Caché - Accident'!$B$7+'Caché - Emprise spatiale'!L50+'Caché - Emprise spatiale'!P50+'Caché - Emprise spatiale'!I94</f>
        <v>3523.5453581732727</v>
      </c>
      <c r="I36" s="54">
        <f t="shared" si="4"/>
        <v>6218.9647724604411</v>
      </c>
      <c r="J36" s="54">
        <f t="shared" si="1"/>
        <v>9154.9632715316311</v>
      </c>
      <c r="K36" s="54">
        <f t="shared" si="2"/>
        <v>1.4721040569441279</v>
      </c>
      <c r="L36" s="54">
        <f>I36/('Clés de répartition'!F126*2*'Privé - Temps'!$B$11)</f>
        <v>0.92648186237427532</v>
      </c>
      <c r="M36" s="54">
        <f>J36/('Clés de répartition'!F126*2*'Privé - Temps'!$B$11)</f>
        <v>1.363877708286322</v>
      </c>
      <c r="N36" s="366">
        <f t="shared" si="3"/>
        <v>0.90519678022982242</v>
      </c>
      <c r="Q36" s="53"/>
      <c r="R36" s="308"/>
      <c r="S36" s="308"/>
      <c r="T36" s="327"/>
      <c r="V36" s="292"/>
      <c r="W36" s="292"/>
      <c r="X36" s="292"/>
      <c r="AB36" s="54"/>
      <c r="AC36" s="53"/>
      <c r="AD36" s="282"/>
      <c r="AE36" s="54"/>
      <c r="AH36" s="16"/>
    </row>
    <row r="37" spans="1:34">
      <c r="A37" s="63" t="e" vm="33">
        <v>#VALUE!</v>
      </c>
      <c r="B37" s="282">
        <f>'Privé - Achat&amp;Utilisation'!B52+'Privé - Achat&amp;Utilisation'!C99</f>
        <v>2796.6960137822234</v>
      </c>
      <c r="C37" s="282">
        <f>'Privé - Contravention'!$B$8+'Privé - Permis, etc'!$C$6+'Privé - Permis, etc'!$C$7+'Caché - Accident'!$B$6</f>
        <v>535.79560301458696</v>
      </c>
      <c r="D37" s="282">
        <f>'Privé - Temps'!B53</f>
        <v>2103.1480150087164</v>
      </c>
      <c r="E37" s="282">
        <f>'Indirect - Prov. &amp; Féd.'!$B$8+'Indirect - Prov. &amp; Féd.'!$B$10+'Indirect - Villes'!K47+'Indirect - Villes'!S47</f>
        <v>2960.259663563535</v>
      </c>
      <c r="F37" s="53">
        <f>'Caché - GES'!B50</f>
        <v>630.52479118121016</v>
      </c>
      <c r="G37" s="53">
        <f>'Caché - Congestion'!F59</f>
        <v>1745.1822272542165</v>
      </c>
      <c r="H37" s="282">
        <f>'Caché - Accident'!$B$7+'Caché - Emprise spatiale'!L51+'Caché - Emprise spatiale'!P51+'Caché - Emprise spatiale'!I95</f>
        <v>7639.4022809435692</v>
      </c>
      <c r="I37" s="54">
        <f t="shared" si="4"/>
        <v>5435.6396318055267</v>
      </c>
      <c r="J37" s="54">
        <f t="shared" si="1"/>
        <v>12975.368962942532</v>
      </c>
      <c r="K37" s="54">
        <f t="shared" si="2"/>
        <v>2.3870914633523221</v>
      </c>
      <c r="L37" s="54">
        <f>I37/('Clés de répartition'!F127*2*'Privé - Temps'!$B$11)</f>
        <v>0.98733262507306563</v>
      </c>
      <c r="M37" s="54">
        <f>J37/('Clés de répartition'!F127*2*'Privé - Temps'!$B$11)</f>
        <v>2.356853280801154</v>
      </c>
      <c r="N37" s="366">
        <f t="shared" si="3"/>
        <v>1.5642282209714253</v>
      </c>
      <c r="O37" t="s">
        <v>632</v>
      </c>
      <c r="Q37" s="53"/>
    </row>
    <row r="38" spans="1:34" ht="15" customHeight="1">
      <c r="A38" s="63" t="e" vm="34">
        <v>#VALUE!</v>
      </c>
      <c r="B38" s="282">
        <f>'Privé - Achat&amp;Utilisation'!B53+'Privé - Achat&amp;Utilisation'!C100</f>
        <v>2669.4560354826403</v>
      </c>
      <c r="C38" s="282">
        <f>'Privé - Contravention'!$B$8+'Privé - Permis, etc'!$C$6+'Privé - Permis, etc'!$C$7+'Caché - Accident'!$B$6</f>
        <v>535.79560301458696</v>
      </c>
      <c r="D38" s="282">
        <f>'Privé - Temps'!B54</f>
        <v>2165.9570098025529</v>
      </c>
      <c r="E38" s="282">
        <f>'Indirect - Prov. &amp; Féd.'!$B$8+'Indirect - Prov. &amp; Féd.'!$B$10+'Indirect - Villes'!K48+'Indirect - Villes'!S48</f>
        <v>2857.9024970573587</v>
      </c>
      <c r="F38" s="53">
        <f>'Caché - GES'!B51</f>
        <v>649.20888536278062</v>
      </c>
      <c r="G38" s="53">
        <f>'Caché - Congestion'!F60</f>
        <v>2047.6342706137129</v>
      </c>
      <c r="H38" s="282">
        <f>'Caché - Accident'!$B$7+'Caché - Emprise spatiale'!L52+'Caché - Emprise spatiale'!P52+'Caché - Emprise spatiale'!I96</f>
        <v>3341.3427844629109</v>
      </c>
      <c r="I38" s="54">
        <f t="shared" si="4"/>
        <v>5371.2086482997802</v>
      </c>
      <c r="J38" s="54">
        <f t="shared" si="1"/>
        <v>8896.0884374967627</v>
      </c>
      <c r="K38" s="54">
        <f t="shared" si="2"/>
        <v>1.6562544894458269</v>
      </c>
      <c r="L38" s="54">
        <f>I38/('Clés de répartition'!F128*2*'Privé - Temps'!$B$11)</f>
        <v>0.94774529477424652</v>
      </c>
      <c r="M38" s="54">
        <f>J38/('Clés de répartition'!F128*2*'Privé - Temps'!$B$11)</f>
        <v>1.5697073993210044</v>
      </c>
      <c r="N38" s="366">
        <f t="shared" si="3"/>
        <v>1.0418046098529017</v>
      </c>
      <c r="O38" s="21"/>
      <c r="P38" s="21"/>
      <c r="Q38" s="53"/>
      <c r="R38" s="308"/>
      <c r="S38" s="308"/>
      <c r="T38" s="327"/>
    </row>
  </sheetData>
  <phoneticPr fontId="44" type="noConversion"/>
  <conditionalFormatting sqref="M3:M38">
    <cfRule type="dataBar" priority="1">
      <dataBar>
        <cfvo type="min"/>
        <cfvo type="max"/>
        <color rgb="FFFF555A"/>
      </dataBar>
      <extLst>
        <ext xmlns:x14="http://schemas.microsoft.com/office/spreadsheetml/2009/9/main" uri="{B025F937-C7B1-47D3-B67F-A62EFF666E3E}">
          <x14:id>{470EBD00-10BB-DC4C-994A-CDEA7FD84973}</x14:id>
        </ext>
      </extLst>
    </cfRule>
  </conditionalFormatting>
  <hyperlinks>
    <hyperlink ref="A1" location="'Table des matières'!A1" display="Retour à la Table des matières" xr:uid="{655F0DF2-AA6B-8C4B-9EFC-F02A6C8F9562}"/>
  </hyperlinks>
  <pageMargins left="0.7" right="0.7" top="0.75" bottom="0.75" header="0.3" footer="0.3"/>
  <pageSetup orientation="portrait" horizontalDpi="0" verticalDpi="0"/>
  <drawing r:id="rId1"/>
  <extLst>
    <ext xmlns:x14="http://schemas.microsoft.com/office/spreadsheetml/2009/9/main" uri="{78C0D931-6437-407d-A8EE-F0AAD7539E65}">
      <x14:conditionalFormattings>
        <x14:conditionalFormatting xmlns:xm="http://schemas.microsoft.com/office/excel/2006/main">
          <x14:cfRule type="dataBar" id="{470EBD00-10BB-DC4C-994A-CDEA7FD84973}">
            <x14:dataBar minLength="0" maxLength="100" border="1" negativeBarBorderColorSameAsPositive="0">
              <x14:cfvo type="autoMin"/>
              <x14:cfvo type="autoMax"/>
              <x14:borderColor rgb="FFFF555A"/>
              <x14:negativeFillColor rgb="FFFF0000"/>
              <x14:negativeBorderColor rgb="FFFF0000"/>
              <x14:axisColor rgb="FF000000"/>
            </x14:dataBar>
          </x14:cfRule>
          <xm:sqref>M3:M38</xm:sqref>
        </x14:conditionalFormatting>
      </x14:conditionalFormatting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5B0754-303E-3649-8830-81C6214B5A1D}">
  <sheetPr codeName="Sheet23">
    <tabColor rgb="FFF4B182"/>
  </sheetPr>
  <dimension ref="A1:AF36"/>
  <sheetViews>
    <sheetView zoomScaleNormal="130" workbookViewId="0">
      <selection sqref="A1:K36"/>
    </sheetView>
  </sheetViews>
  <sheetFormatPr baseColWidth="10" defaultRowHeight="16"/>
  <cols>
    <col min="1" max="1" width="36.6640625" customWidth="1"/>
    <col min="4" max="4" width="17" customWidth="1"/>
    <col min="5" max="5" width="18.5" customWidth="1"/>
    <col min="6" max="6" width="14.5" customWidth="1"/>
    <col min="8" max="8" width="10.5" bestFit="1" customWidth="1"/>
    <col min="10" max="10" width="13.1640625" customWidth="1"/>
    <col min="11" max="11" width="16.6640625" customWidth="1"/>
    <col min="12" max="12" width="13.83203125" customWidth="1"/>
    <col min="13" max="13" width="23" customWidth="1"/>
    <col min="14" max="15" width="18.83203125" customWidth="1"/>
    <col min="16" max="16" width="15.83203125" customWidth="1"/>
    <col min="17" max="17" width="13.5" customWidth="1"/>
    <col min="28" max="28" width="11.6640625" bestFit="1" customWidth="1"/>
  </cols>
  <sheetData>
    <row r="1" spans="1:32" s="114" customFormat="1" ht="24" customHeight="1">
      <c r="A1" s="4" t="s">
        <v>855</v>
      </c>
      <c r="B1" s="114" t="s">
        <v>850</v>
      </c>
      <c r="C1" s="114" t="s">
        <v>851</v>
      </c>
      <c r="D1" s="114" t="s">
        <v>852</v>
      </c>
      <c r="E1" s="503" t="s">
        <v>845</v>
      </c>
      <c r="F1" s="138" t="s">
        <v>846</v>
      </c>
      <c r="G1" s="138" t="s">
        <v>847</v>
      </c>
      <c r="H1" s="283" t="s">
        <v>848</v>
      </c>
      <c r="I1" s="138" t="s">
        <v>849</v>
      </c>
      <c r="J1" s="114" t="s">
        <v>853</v>
      </c>
      <c r="K1" s="404" t="s">
        <v>854</v>
      </c>
      <c r="L1" s="138"/>
      <c r="M1" s="138"/>
      <c r="N1" s="138"/>
      <c r="O1" s="138"/>
      <c r="P1" s="138"/>
      <c r="Q1" s="138"/>
      <c r="R1" s="138"/>
    </row>
    <row r="2" spans="1:32">
      <c r="A2" s="502" t="s">
        <v>202</v>
      </c>
      <c r="B2">
        <f>'Clés de répartition'!F93</f>
        <v>12.304121519511266</v>
      </c>
      <c r="C2">
        <f>'Clés de répartition'!B93</f>
        <v>18.578494294073803</v>
      </c>
      <c r="D2">
        <f>'Clés de répartition'!J93</f>
        <v>31.44840950485942</v>
      </c>
      <c r="E2" s="224">
        <f>'Privé - Achat&amp;Utilisation'!B18</f>
        <v>1210.629143850945</v>
      </c>
      <c r="F2">
        <f>'Privé - Contravention'!$B$8+'Privé - Permis, etc'!$C$6+'Privé - Permis, etc'!$C$7+'Caché - Accident'!$B$6</f>
        <v>535.79560301458696</v>
      </c>
      <c r="G2">
        <f>'Indirect - Prov. &amp; Féd.'!$B$8</f>
        <v>155.51443112853329</v>
      </c>
      <c r="H2" s="88">
        <f>'Indirect - Prov. &amp; Féd.'!$B$10</f>
        <v>934.08830600232091</v>
      </c>
      <c r="I2">
        <f>'Indirect - Villes'!K13+'Indirect - Villes'!S13</f>
        <v>1760.324292805441</v>
      </c>
      <c r="J2">
        <f>'Caché - Accident'!$B$7</f>
        <v>1674.0990702518939</v>
      </c>
      <c r="K2" s="224">
        <f>'Caché - Emprise spatiale'!L17+'Caché - Emprise spatiale'!P17+'Caché - Emprise spatiale'!I61</f>
        <v>2012.7505374236985</v>
      </c>
      <c r="L2" s="366"/>
      <c r="M2" s="21"/>
      <c r="N2" s="21"/>
      <c r="O2" s="21"/>
      <c r="P2" s="308"/>
      <c r="Q2" s="308"/>
      <c r="R2" s="327"/>
      <c r="Z2" s="54"/>
    </row>
    <row r="3" spans="1:32">
      <c r="A3" s="502" t="s">
        <v>71</v>
      </c>
      <c r="B3">
        <f>'Clés de répartition'!F94</f>
        <v>15.5740332135399</v>
      </c>
      <c r="C3">
        <f>'Clés de répartition'!B94</f>
        <v>15.879162222959099</v>
      </c>
      <c r="D3">
        <f>'Clés de répartition'!J94</f>
        <v>22.811613984459701</v>
      </c>
      <c r="E3" s="224">
        <f>'Privé - Achat&amp;Utilisation'!B19</f>
        <v>2721.9536508651727</v>
      </c>
      <c r="F3">
        <f>'Privé - Contravention'!$B$8+'Privé - Permis, etc'!$C$6+'Privé - Permis, etc'!$C$7+'Caché - Accident'!$B$6</f>
        <v>535.79560301458696</v>
      </c>
      <c r="G3">
        <f>'Indirect - Prov. &amp; Féd.'!$B$8</f>
        <v>155.51443112853329</v>
      </c>
      <c r="H3" s="88">
        <f>'Indirect - Prov. &amp; Féd.'!$B$10</f>
        <v>934.08830600232091</v>
      </c>
      <c r="I3">
        <f>'Indirect - Villes'!K14+'Indirect - Villes'!S14</f>
        <v>3079.5419838702601</v>
      </c>
      <c r="J3">
        <f>'Caché - Accident'!$B$7</f>
        <v>1674.0990702518939</v>
      </c>
      <c r="K3" s="224">
        <f>'Caché - Emprise spatiale'!L18+'Caché - Emprise spatiale'!P18+'Caché - Emprise spatiale'!I62</f>
        <v>2161.1511937209029</v>
      </c>
      <c r="L3" s="366"/>
      <c r="P3" s="308"/>
      <c r="Q3" s="308"/>
      <c r="R3" s="327"/>
      <c r="T3" s="292"/>
      <c r="U3" s="292"/>
      <c r="V3" s="292"/>
      <c r="Z3" s="54"/>
      <c r="AA3" s="53"/>
      <c r="AB3" s="282"/>
      <c r="AC3" s="54"/>
    </row>
    <row r="4" spans="1:32">
      <c r="A4" s="502" t="s">
        <v>72</v>
      </c>
      <c r="B4">
        <f>'Clés de répartition'!F95</f>
        <v>17.375485000019701</v>
      </c>
      <c r="C4">
        <f>'Clés de répartition'!B95</f>
        <v>18.7245377123044</v>
      </c>
      <c r="D4">
        <f>'Clés de répartition'!J95</f>
        <v>29.5853865230583</v>
      </c>
      <c r="E4" s="224">
        <f>'Privé - Achat&amp;Utilisation'!B20</f>
        <v>2791.520954041388</v>
      </c>
      <c r="F4">
        <f>'Privé - Contravention'!$B$8+'Privé - Permis, etc'!$C$6+'Privé - Permis, etc'!$C$7+'Caché - Accident'!$B$6</f>
        <v>535.79560301458696</v>
      </c>
      <c r="G4">
        <f>'Indirect - Prov. &amp; Féd.'!$B$8</f>
        <v>155.51443112853329</v>
      </c>
      <c r="H4" s="88">
        <f>'Indirect - Prov. &amp; Féd.'!$B$10</f>
        <v>934.08830600232091</v>
      </c>
      <c r="I4">
        <f>'Indirect - Villes'!K15+'Indirect - Villes'!S15</f>
        <v>728.92167729754897</v>
      </c>
      <c r="J4">
        <f>'Caché - Accident'!$B$7</f>
        <v>1674.0990702518939</v>
      </c>
      <c r="K4" s="224">
        <f>'Caché - Emprise spatiale'!L19+'Caché - Emprise spatiale'!P19+'Caché - Emprise spatiale'!I63</f>
        <v>1546.0419584333185</v>
      </c>
      <c r="L4" s="366"/>
      <c r="P4" s="308"/>
      <c r="Q4" s="308"/>
      <c r="R4" s="327"/>
      <c r="T4" s="292"/>
      <c r="U4" s="292"/>
      <c r="V4" s="292"/>
      <c r="Z4" s="54"/>
      <c r="AA4" s="53"/>
      <c r="AB4" s="282"/>
      <c r="AC4" s="54"/>
      <c r="AF4" s="16"/>
    </row>
    <row r="5" spans="1:32">
      <c r="A5" s="502" t="s">
        <v>73</v>
      </c>
      <c r="B5">
        <f>'Clés de répartition'!F96</f>
        <v>9.1147331994502796</v>
      </c>
      <c r="C5">
        <f>'Clés de répartition'!B96</f>
        <v>17.591916614923399</v>
      </c>
      <c r="D5">
        <f>'Clés de répartition'!J96</f>
        <v>30.994028434131</v>
      </c>
      <c r="E5" s="224">
        <f>'Privé - Achat&amp;Utilisation'!B21</f>
        <v>1455.2144373412525</v>
      </c>
      <c r="F5">
        <f>'Privé - Contravention'!$B$8+'Privé - Permis, etc'!$C$6+'Privé - Permis, etc'!$C$7+'Caché - Accident'!$B$6</f>
        <v>535.79560301458696</v>
      </c>
      <c r="G5">
        <f>'Indirect - Prov. &amp; Féd.'!$B$8</f>
        <v>155.51443112853329</v>
      </c>
      <c r="H5" s="88">
        <f>'Indirect - Prov. &amp; Féd.'!$B$10</f>
        <v>934.08830600232091</v>
      </c>
      <c r="I5">
        <f>'Indirect - Villes'!K16+'Indirect - Villes'!S16</f>
        <v>915.73652337760416</v>
      </c>
      <c r="J5">
        <f>'Caché - Accident'!$B$7</f>
        <v>1674.0990702518939</v>
      </c>
      <c r="K5" s="224">
        <f>'Caché - Emprise spatiale'!L20+'Caché - Emprise spatiale'!P20+'Caché - Emprise spatiale'!I64</f>
        <v>985.60315540564102</v>
      </c>
      <c r="L5" s="366"/>
      <c r="N5" s="54"/>
      <c r="P5" s="308"/>
      <c r="Q5" s="308"/>
      <c r="R5" s="327"/>
      <c r="T5" s="292"/>
      <c r="U5" s="292"/>
      <c r="V5" s="292"/>
      <c r="Z5" s="54"/>
      <c r="AA5" s="53"/>
      <c r="AB5" s="282"/>
      <c r="AC5" s="54"/>
      <c r="AF5" s="16"/>
    </row>
    <row r="6" spans="1:32">
      <c r="A6" s="502" t="s">
        <v>74</v>
      </c>
      <c r="B6">
        <f>'Clés de répartition'!F97</f>
        <v>15.035326110046899</v>
      </c>
      <c r="C6">
        <f>'Clés de répartition'!B97</f>
        <v>19.098903188325</v>
      </c>
      <c r="D6">
        <f>'Clés de répartition'!J97</f>
        <v>32.533615969837697</v>
      </c>
      <c r="E6" s="224">
        <f>'Privé - Achat&amp;Utilisation'!B22</f>
        <v>1965.8906666914634</v>
      </c>
      <c r="F6">
        <f>'Privé - Contravention'!$B$8+'Privé - Permis, etc'!$C$6+'Privé - Permis, etc'!$C$7+'Caché - Accident'!$B$6</f>
        <v>535.79560301458696</v>
      </c>
      <c r="G6">
        <f>'Indirect - Prov. &amp; Féd.'!$B$8</f>
        <v>155.51443112853329</v>
      </c>
      <c r="H6" s="88">
        <f>'Indirect - Prov. &amp; Féd.'!$B$10</f>
        <v>934.08830600232091</v>
      </c>
      <c r="I6">
        <f>'Indirect - Villes'!K17+'Indirect - Villes'!S17</f>
        <v>756.58612462207157</v>
      </c>
      <c r="J6">
        <f>'Caché - Accident'!$B$7</f>
        <v>1674.0990702518939</v>
      </c>
      <c r="K6" s="224">
        <f>'Caché - Emprise spatiale'!L21+'Caché - Emprise spatiale'!P21+'Caché - Emprise spatiale'!I65</f>
        <v>1444.5730031135272</v>
      </c>
      <c r="L6" s="366"/>
      <c r="N6" s="54"/>
      <c r="P6" s="308"/>
      <c r="Q6" s="308"/>
      <c r="R6" s="327"/>
      <c r="T6" s="292"/>
      <c r="U6" s="292"/>
      <c r="V6" s="292"/>
      <c r="Z6" s="54"/>
      <c r="AA6" s="53"/>
      <c r="AB6" s="282"/>
      <c r="AC6" s="54"/>
      <c r="AF6" s="16"/>
    </row>
    <row r="7" spans="1:32">
      <c r="A7" s="502" t="s">
        <v>86</v>
      </c>
      <c r="B7">
        <f>'Clés de répartition'!F98</f>
        <v>13.5676362906911</v>
      </c>
      <c r="C7">
        <f>'Clés de répartition'!B98</f>
        <v>15.906546648819599</v>
      </c>
      <c r="D7">
        <f>'Clés de répartition'!J98</f>
        <v>25.0962541874013</v>
      </c>
      <c r="E7" s="224">
        <f>'Privé - Achat&amp;Utilisation'!B23</f>
        <v>1727.1321673763605</v>
      </c>
      <c r="F7">
        <f>'Privé - Contravention'!$B$8+'Privé - Permis, etc'!$C$6+'Privé - Permis, etc'!$C$7+'Caché - Accident'!$B$6</f>
        <v>535.79560301458696</v>
      </c>
      <c r="G7">
        <f>'Indirect - Prov. &amp; Féd.'!$B$8</f>
        <v>155.51443112853329</v>
      </c>
      <c r="H7" s="88">
        <f>'Indirect - Prov. &amp; Féd.'!$B$10</f>
        <v>934.08830600232091</v>
      </c>
      <c r="I7">
        <f>'Indirect - Villes'!K18+'Indirect - Villes'!S18</f>
        <v>1985.9949465697841</v>
      </c>
      <c r="J7">
        <f>'Caché - Accident'!$B$7</f>
        <v>1674.0990702518939</v>
      </c>
      <c r="K7" s="224">
        <f>'Caché - Emprise spatiale'!L22+'Caché - Emprise spatiale'!P22+'Caché - Emprise spatiale'!I66</f>
        <v>1519.6124835103067</v>
      </c>
      <c r="L7" s="366"/>
      <c r="P7" s="308"/>
      <c r="Q7" s="308"/>
      <c r="R7" s="327"/>
      <c r="T7" s="292"/>
      <c r="U7" s="292"/>
      <c r="V7" s="292"/>
      <c r="Z7" s="54"/>
      <c r="AA7" s="53"/>
      <c r="AB7" s="282"/>
      <c r="AC7" s="54"/>
      <c r="AF7" s="16"/>
    </row>
    <row r="8" spans="1:32">
      <c r="A8" s="502" t="s">
        <v>76</v>
      </c>
      <c r="B8">
        <f>'Clés de répartition'!F99</f>
        <v>7.76377315957959</v>
      </c>
      <c r="C8">
        <f>'Clés de répartition'!B99</f>
        <v>13.9889088199581</v>
      </c>
      <c r="D8">
        <f>'Clés de répartition'!J99</f>
        <v>23.958632299370802</v>
      </c>
      <c r="E8" s="224">
        <f>'Privé - Achat&amp;Utilisation'!B24</f>
        <v>1040.7998743650689</v>
      </c>
      <c r="F8">
        <f>'Privé - Contravention'!$B$8+'Privé - Permis, etc'!$C$6+'Privé - Permis, etc'!$C$7+'Caché - Accident'!$B$6</f>
        <v>535.79560301458696</v>
      </c>
      <c r="G8">
        <f>'Indirect - Prov. &amp; Féd.'!$B$8</f>
        <v>155.51443112853329</v>
      </c>
      <c r="H8" s="88">
        <f>'Indirect - Prov. &amp; Féd.'!$B$10</f>
        <v>934.08830600232091</v>
      </c>
      <c r="I8">
        <f>'Indirect - Villes'!K19+'Indirect - Villes'!S19</f>
        <v>2418.5048215967308</v>
      </c>
      <c r="J8">
        <f>'Caché - Accident'!$B$7</f>
        <v>1674.0990702518939</v>
      </c>
      <c r="K8" s="224">
        <f>'Caché - Emprise spatiale'!L23+'Caché - Emprise spatiale'!P23+'Caché - Emprise spatiale'!I67</f>
        <v>6144.7510530186191</v>
      </c>
      <c r="L8" s="366"/>
      <c r="N8" s="54"/>
      <c r="P8" s="308"/>
      <c r="Q8" s="308"/>
      <c r="R8" s="327"/>
      <c r="T8" s="292"/>
      <c r="U8" s="292"/>
      <c r="V8" s="292"/>
      <c r="Z8" s="54"/>
      <c r="AA8" s="53"/>
      <c r="AB8" s="282"/>
      <c r="AC8" s="54"/>
      <c r="AF8" s="16"/>
    </row>
    <row r="9" spans="1:32">
      <c r="A9" s="502" t="s">
        <v>77</v>
      </c>
      <c r="B9">
        <f>'Clés de répartition'!F100</f>
        <v>18.0668915198553</v>
      </c>
      <c r="C9">
        <f>'Clés de répartition'!B100</f>
        <v>20.019468440208101</v>
      </c>
      <c r="D9">
        <f>'Clés de répartition'!J100</f>
        <v>31.870659229185801</v>
      </c>
      <c r="E9" s="224">
        <f>'Privé - Achat&amp;Utilisation'!B25</f>
        <v>2755.9145734374192</v>
      </c>
      <c r="F9">
        <f>'Privé - Contravention'!$B$8+'Privé - Permis, etc'!$C$6+'Privé - Permis, etc'!$C$7+'Caché - Accident'!$B$6</f>
        <v>535.79560301458696</v>
      </c>
      <c r="G9">
        <f>'Indirect - Prov. &amp; Féd.'!$B$8</f>
        <v>155.51443112853329</v>
      </c>
      <c r="H9" s="88">
        <f>'Indirect - Prov. &amp; Féd.'!$B$10</f>
        <v>934.08830600232091</v>
      </c>
      <c r="I9">
        <f>'Indirect - Villes'!K20+'Indirect - Villes'!S20</f>
        <v>1398.6282339942786</v>
      </c>
      <c r="J9">
        <f>'Caché - Accident'!$B$7</f>
        <v>1674.0990702518939</v>
      </c>
      <c r="K9" s="224">
        <f>'Caché - Emprise spatiale'!L24+'Caché - Emprise spatiale'!P24+'Caché - Emprise spatiale'!I68</f>
        <v>1734.6837653955481</v>
      </c>
      <c r="L9" s="366"/>
      <c r="P9" s="308"/>
      <c r="Q9" s="308"/>
      <c r="R9" s="327"/>
      <c r="T9" s="292"/>
      <c r="U9" s="292"/>
      <c r="V9" s="292"/>
      <c r="Z9" s="54"/>
      <c r="AA9" s="53"/>
      <c r="AB9" s="282"/>
      <c r="AC9" s="54"/>
      <c r="AF9" s="16"/>
    </row>
    <row r="10" spans="1:32">
      <c r="A10" s="502" t="s">
        <v>79</v>
      </c>
      <c r="B10">
        <f>'Clés de répartition'!F101</f>
        <v>12.098702165712405</v>
      </c>
      <c r="C10">
        <f>'Clés de répartition'!B101</f>
        <v>18.75926045005151</v>
      </c>
      <c r="D10">
        <f>'Clés de répartition'!J101</f>
        <v>31.940462420488736</v>
      </c>
      <c r="E10" s="224">
        <f>'Privé - Achat&amp;Utilisation'!B26</f>
        <v>1094.3366480632151</v>
      </c>
      <c r="F10">
        <f>'Privé - Contravention'!$B$8+'Privé - Permis, etc'!$C$6+'Privé - Permis, etc'!$C$7+'Caché - Accident'!$B$6</f>
        <v>535.79560301458696</v>
      </c>
      <c r="G10">
        <f>'Indirect - Prov. &amp; Féd.'!$B$8</f>
        <v>155.51443112853329</v>
      </c>
      <c r="H10" s="88">
        <f>'Indirect - Prov. &amp; Féd.'!$B$10</f>
        <v>934.08830600232091</v>
      </c>
      <c r="I10">
        <f>'Indirect - Villes'!K21+'Indirect - Villes'!S21</f>
        <v>1804.4846672905712</v>
      </c>
      <c r="J10">
        <f>'Caché - Accident'!$B$7</f>
        <v>1674.0990702518939</v>
      </c>
      <c r="K10" s="224">
        <f>'Caché - Emprise spatiale'!L25+'Caché - Emprise spatiale'!P25+'Caché - Emprise spatiale'!I69</f>
        <v>1992.8518443439664</v>
      </c>
      <c r="L10" s="366"/>
      <c r="N10" s="53"/>
      <c r="P10" s="308"/>
      <c r="Q10" s="308"/>
      <c r="R10" s="327"/>
      <c r="T10" s="292"/>
      <c r="U10" s="292"/>
      <c r="V10" s="292"/>
      <c r="Z10" s="54"/>
      <c r="AA10" s="53"/>
      <c r="AB10" s="282"/>
      <c r="AC10" s="54"/>
      <c r="AF10" s="16"/>
    </row>
    <row r="11" spans="1:32">
      <c r="A11" s="502" t="s">
        <v>80</v>
      </c>
      <c r="B11">
        <f>'Clés de répartition'!F102</f>
        <v>14.0550573946238</v>
      </c>
      <c r="C11">
        <f>'Clés de répartition'!B102</f>
        <v>20.5527038132923</v>
      </c>
      <c r="D11">
        <f>'Clés de répartition'!J102</f>
        <v>34.812199405965998</v>
      </c>
      <c r="E11" s="224">
        <f>'Privé - Achat&amp;Utilisation'!B27</f>
        <v>1114.7498515894781</v>
      </c>
      <c r="F11">
        <f>'Privé - Contravention'!$B$8+'Privé - Permis, etc'!$C$6+'Privé - Permis, etc'!$C$7+'Caché - Accident'!$B$6</f>
        <v>535.79560301458696</v>
      </c>
      <c r="G11">
        <f>'Indirect - Prov. &amp; Féd.'!$B$8</f>
        <v>155.51443112853329</v>
      </c>
      <c r="H11" s="88">
        <f>'Indirect - Prov. &amp; Féd.'!$B$10</f>
        <v>934.08830600232091</v>
      </c>
      <c r="I11">
        <f>'Indirect - Villes'!K22+'Indirect - Villes'!S22</f>
        <v>4983.0653489339593</v>
      </c>
      <c r="J11">
        <f>'Caché - Accident'!$B$7</f>
        <v>1674.0990702518939</v>
      </c>
      <c r="K11" s="224">
        <f>'Caché - Emprise spatiale'!L26+'Caché - Emprise spatiale'!P26+'Caché - Emprise spatiale'!I70</f>
        <v>1003.8041996066444</v>
      </c>
      <c r="L11" s="366"/>
      <c r="P11" s="308"/>
      <c r="Q11" s="308"/>
      <c r="R11" s="327"/>
      <c r="T11" s="292"/>
      <c r="U11" s="292"/>
      <c r="V11" s="292"/>
      <c r="Z11" s="54"/>
      <c r="AA11" s="53"/>
      <c r="AB11" s="282"/>
      <c r="AC11" s="54"/>
      <c r="AF11" s="16"/>
    </row>
    <row r="12" spans="1:32">
      <c r="A12" s="502" t="s">
        <v>81</v>
      </c>
      <c r="B12">
        <f>'Clés de répartition'!F103</f>
        <v>12.369979113527201</v>
      </c>
      <c r="C12">
        <f>'Clés de répartition'!B103</f>
        <v>20.3550705095262</v>
      </c>
      <c r="D12">
        <f>'Clés de répartition'!J103</f>
        <v>33.089639272226599</v>
      </c>
      <c r="E12" s="224">
        <f>'Privé - Achat&amp;Utilisation'!B28</f>
        <v>1275.3138202722012</v>
      </c>
      <c r="F12">
        <f>'Privé - Contravention'!$B$8+'Privé - Permis, etc'!$C$6+'Privé - Permis, etc'!$C$7+'Caché - Accident'!$B$6</f>
        <v>535.79560301458696</v>
      </c>
      <c r="G12">
        <f>'Indirect - Prov. &amp; Féd.'!$B$8</f>
        <v>155.51443112853329</v>
      </c>
      <c r="H12" s="88">
        <f>'Indirect - Prov. &amp; Féd.'!$B$10</f>
        <v>934.08830600232091</v>
      </c>
      <c r="I12">
        <f>'Indirect - Villes'!K23+'Indirect - Villes'!S23</f>
        <v>2537.0967901095109</v>
      </c>
      <c r="J12">
        <f>'Caché - Accident'!$B$7</f>
        <v>1674.0990702518939</v>
      </c>
      <c r="K12" s="224">
        <f>'Caché - Emprise spatiale'!L27+'Caché - Emprise spatiale'!P27+'Caché - Emprise spatiale'!I71</f>
        <v>3342.7524987748711</v>
      </c>
      <c r="L12" s="366"/>
      <c r="P12" s="308"/>
      <c r="Q12" s="308"/>
      <c r="R12" s="327"/>
      <c r="T12" s="292"/>
      <c r="U12" s="292"/>
      <c r="V12" s="292"/>
      <c r="Z12" s="54"/>
      <c r="AA12" s="53"/>
      <c r="AB12" s="282"/>
      <c r="AC12" s="54"/>
      <c r="AF12" s="16"/>
    </row>
    <row r="13" spans="1:32">
      <c r="A13" s="502" t="s">
        <v>78</v>
      </c>
      <c r="B13">
        <f>'Clés de répartition'!F104</f>
        <v>9.9991732703748699</v>
      </c>
      <c r="C13">
        <f>'Clés de répartition'!B104</f>
        <v>15.6438063747441</v>
      </c>
      <c r="D13">
        <f>'Clés de répartition'!J104</f>
        <v>24.119899085209799</v>
      </c>
      <c r="E13" s="224">
        <f>'Privé - Achat&amp;Utilisation'!B29</f>
        <v>1148.3675606293889</v>
      </c>
      <c r="F13">
        <f>'Privé - Contravention'!$B$8+'Privé - Permis, etc'!$C$6+'Privé - Permis, etc'!$C$7+'Caché - Accident'!$B$6</f>
        <v>535.79560301458696</v>
      </c>
      <c r="G13">
        <f>'Indirect - Prov. &amp; Féd.'!$B$8</f>
        <v>155.51443112853329</v>
      </c>
      <c r="H13" s="88">
        <f>'Indirect - Prov. &amp; Féd.'!$B$10</f>
        <v>934.08830600232091</v>
      </c>
      <c r="I13">
        <f>'Indirect - Villes'!K24+'Indirect - Villes'!S24</f>
        <v>1914.770635896466</v>
      </c>
      <c r="J13">
        <f>'Caché - Accident'!$B$7</f>
        <v>1674.0990702518939</v>
      </c>
      <c r="K13" s="224">
        <f>'Caché - Emprise spatiale'!L28+'Caché - Emprise spatiale'!P28+'Caché - Emprise spatiale'!I72</f>
        <v>6013.780232969093</v>
      </c>
      <c r="L13" s="366"/>
      <c r="P13" s="308"/>
      <c r="Q13" s="308"/>
      <c r="R13" s="327"/>
      <c r="T13" s="292"/>
      <c r="U13" s="292"/>
      <c r="V13" s="292"/>
      <c r="Z13" s="54"/>
      <c r="AA13" s="53"/>
      <c r="AB13" s="282"/>
      <c r="AC13" s="54"/>
      <c r="AF13" s="16"/>
    </row>
    <row r="14" spans="1:32">
      <c r="A14" s="502" t="s">
        <v>82</v>
      </c>
      <c r="B14">
        <f>'Clés de répartition'!F105</f>
        <v>12.6024475595258</v>
      </c>
      <c r="C14">
        <f>'Clés de répartition'!B105</f>
        <v>15.2246086518041</v>
      </c>
      <c r="D14">
        <f>'Clés de répartition'!J105</f>
        <v>23.381810728443199</v>
      </c>
      <c r="E14" s="224">
        <f>'Privé - Achat&amp;Utilisation'!B30</f>
        <v>1860.1485034887987</v>
      </c>
      <c r="F14">
        <f>'Privé - Contravention'!$B$8+'Privé - Permis, etc'!$C$6+'Privé - Permis, etc'!$C$7+'Caché - Accident'!$B$6</f>
        <v>535.79560301458696</v>
      </c>
      <c r="G14">
        <f>'Indirect - Prov. &amp; Féd.'!$B$8</f>
        <v>155.51443112853329</v>
      </c>
      <c r="H14" s="88">
        <f>'Indirect - Prov. &amp; Féd.'!$B$10</f>
        <v>934.08830600232091</v>
      </c>
      <c r="I14">
        <f>'Indirect - Villes'!K25+'Indirect - Villes'!S25</f>
        <v>1770.9244188216564</v>
      </c>
      <c r="J14">
        <f>'Caché - Accident'!$B$7</f>
        <v>1674.0990702518939</v>
      </c>
      <c r="K14" s="224">
        <f>'Caché - Emprise spatiale'!L29+'Caché - Emprise spatiale'!P29+'Caché - Emprise spatiale'!I73</f>
        <v>1676.5962993590317</v>
      </c>
      <c r="L14" s="366"/>
      <c r="P14" s="308"/>
      <c r="Q14" s="308"/>
      <c r="R14" s="327"/>
      <c r="T14" s="292"/>
      <c r="U14" s="292"/>
      <c r="V14" s="292"/>
      <c r="Z14" s="54"/>
      <c r="AA14" s="53"/>
      <c r="AB14" s="282"/>
      <c r="AC14" s="54"/>
      <c r="AF14" s="16"/>
    </row>
    <row r="15" spans="1:32">
      <c r="A15" s="502" t="s">
        <v>83</v>
      </c>
      <c r="B15">
        <f>'Clés de répartition'!F106</f>
        <v>18.846734390485601</v>
      </c>
      <c r="C15">
        <f>'Clés de répartition'!B106</f>
        <v>18.936042886746598</v>
      </c>
      <c r="D15">
        <f>'Clés de répartition'!J106</f>
        <v>26.835718533201199</v>
      </c>
      <c r="E15" s="224">
        <f>'Privé - Achat&amp;Utilisation'!B31</f>
        <v>2474.0564971994636</v>
      </c>
      <c r="F15">
        <f>'Privé - Contravention'!$B$8+'Privé - Permis, etc'!$C$6+'Privé - Permis, etc'!$C$7+'Caché - Accident'!$B$6</f>
        <v>535.79560301458696</v>
      </c>
      <c r="G15">
        <f>'Indirect - Prov. &amp; Féd.'!$B$8</f>
        <v>155.51443112853329</v>
      </c>
      <c r="H15" s="88">
        <f>'Indirect - Prov. &amp; Féd.'!$B$10</f>
        <v>934.08830600232091</v>
      </c>
      <c r="I15">
        <f>'Indirect - Villes'!K26+'Indirect - Villes'!S26</f>
        <v>1906.1668937923932</v>
      </c>
      <c r="J15">
        <f>'Caché - Accident'!$B$7</f>
        <v>1674.0990702518939</v>
      </c>
      <c r="K15" s="224">
        <f>'Caché - Emprise spatiale'!L30+'Caché - Emprise spatiale'!P30+'Caché - Emprise spatiale'!I74</f>
        <v>435.3353396443157</v>
      </c>
      <c r="L15" s="366"/>
      <c r="P15" s="308"/>
      <c r="Q15" s="308"/>
      <c r="R15" s="327"/>
      <c r="T15" s="292"/>
      <c r="U15" s="292"/>
      <c r="V15" s="292"/>
      <c r="Z15" s="54"/>
      <c r="AA15" s="53"/>
      <c r="AB15" s="282"/>
      <c r="AC15" s="54"/>
      <c r="AF15" s="16"/>
    </row>
    <row r="16" spans="1:32">
      <c r="A16" s="502" t="s">
        <v>84</v>
      </c>
      <c r="B16">
        <f>'Clés de répartition'!F107</f>
        <v>25.412995031419001</v>
      </c>
      <c r="C16">
        <f>'Clés de répartition'!B107</f>
        <v>23.349024550635701</v>
      </c>
      <c r="D16">
        <f>'Clés de répartition'!J107</f>
        <v>33.2380589653661</v>
      </c>
      <c r="E16" s="224">
        <f>'Privé - Achat&amp;Utilisation'!B32</f>
        <v>4017.2844784040581</v>
      </c>
      <c r="F16">
        <f>'Privé - Contravention'!$B$8+'Privé - Permis, etc'!$C$6+'Privé - Permis, etc'!$C$7+'Caché - Accident'!$B$6</f>
        <v>535.79560301458696</v>
      </c>
      <c r="G16">
        <f>'Indirect - Prov. &amp; Féd.'!$B$8</f>
        <v>155.51443112853329</v>
      </c>
      <c r="H16" s="88">
        <f>'Indirect - Prov. &amp; Féd.'!$B$10</f>
        <v>934.08830600232091</v>
      </c>
      <c r="I16">
        <f>'Indirect - Villes'!K27+'Indirect - Villes'!S27</f>
        <v>2534.978487736611</v>
      </c>
      <c r="J16">
        <f>'Caché - Accident'!$B$7</f>
        <v>1674.0990702518939</v>
      </c>
      <c r="K16" s="224">
        <f>'Caché - Emprise spatiale'!L31+'Caché - Emprise spatiale'!P31+'Caché - Emprise spatiale'!I75</f>
        <v>384.54113241936619</v>
      </c>
      <c r="L16" s="366"/>
      <c r="P16" s="308"/>
      <c r="Q16" s="308"/>
      <c r="R16" s="327"/>
      <c r="T16" s="292"/>
      <c r="U16" s="292"/>
      <c r="V16" s="292"/>
      <c r="Z16" s="54"/>
      <c r="AA16" s="53"/>
      <c r="AB16" s="282"/>
      <c r="AC16" s="54"/>
      <c r="AF16" s="16"/>
    </row>
    <row r="17" spans="1:32">
      <c r="A17" s="502" t="s">
        <v>85</v>
      </c>
      <c r="B17">
        <f>'Clés de répartition'!F108</f>
        <v>7.7584854427035301</v>
      </c>
      <c r="C17">
        <f>'Clés de répartition'!B108</f>
        <v>14.580850454259</v>
      </c>
      <c r="D17">
        <f>'Clés de répartition'!J108</f>
        <v>24.834486913394802</v>
      </c>
      <c r="E17" s="224">
        <f>'Privé - Achat&amp;Utilisation'!B33</f>
        <v>1072.2726170974984</v>
      </c>
      <c r="F17">
        <f>'Privé - Contravention'!$B$8+'Privé - Permis, etc'!$C$6+'Privé - Permis, etc'!$C$7+'Caché - Accident'!$B$6</f>
        <v>535.79560301458696</v>
      </c>
      <c r="G17">
        <f>'Indirect - Prov. &amp; Féd.'!$B$8</f>
        <v>155.51443112853329</v>
      </c>
      <c r="H17" s="88">
        <f>'Indirect - Prov. &amp; Féd.'!$B$10</f>
        <v>934.08830600232091</v>
      </c>
      <c r="I17">
        <f>'Indirect - Villes'!K28+'Indirect - Villes'!S28</f>
        <v>2576.3907616855822</v>
      </c>
      <c r="J17">
        <f>'Caché - Accident'!$B$7</f>
        <v>1674.0990702518939</v>
      </c>
      <c r="K17" s="224">
        <f>'Caché - Emprise spatiale'!L32+'Caché - Emprise spatiale'!P32+'Caché - Emprise spatiale'!I76</f>
        <v>6263.3420843239992</v>
      </c>
      <c r="L17" s="366"/>
      <c r="P17" s="308"/>
      <c r="Q17" s="308"/>
      <c r="R17" s="327"/>
      <c r="T17" s="292"/>
      <c r="U17" s="292"/>
      <c r="V17" s="292"/>
      <c r="Z17" s="54"/>
      <c r="AA17" s="53"/>
      <c r="AB17" s="282"/>
      <c r="AC17" s="54"/>
      <c r="AF17" s="16"/>
    </row>
    <row r="18" spans="1:32">
      <c r="A18" s="502" t="s">
        <v>154</v>
      </c>
      <c r="B18">
        <f>'Clés de répartition'!F110</f>
        <v>11.199259146373</v>
      </c>
      <c r="C18">
        <f>'Clés de répartition'!B110</f>
        <v>18.680937512124</v>
      </c>
      <c r="D18">
        <f>'Clés de répartition'!J110</f>
        <v>31.549778815711498</v>
      </c>
      <c r="E18" s="224">
        <f>'Privé - Achat&amp;Utilisation'!B35</f>
        <v>1068.889815770352</v>
      </c>
      <c r="F18">
        <f>'Privé - Contravention'!$B$8+'Privé - Permis, etc'!$C$6+'Privé - Permis, etc'!$C$7+'Caché - Accident'!$B$6</f>
        <v>535.79560301458696</v>
      </c>
      <c r="G18">
        <f>'Indirect - Prov. &amp; Féd.'!$B$8</f>
        <v>155.51443112853329</v>
      </c>
      <c r="H18" s="88">
        <f>'Indirect - Prov. &amp; Féd.'!$B$10</f>
        <v>934.08830600232091</v>
      </c>
      <c r="I18">
        <f>'Indirect - Villes'!K30+'Indirect - Villes'!S30</f>
        <v>1819.5819382835521</v>
      </c>
      <c r="J18">
        <f>'Caché - Accident'!$B$7</f>
        <v>1674.0990702518939</v>
      </c>
      <c r="K18" s="224">
        <f>'Caché - Emprise spatiale'!L34+'Caché - Emprise spatiale'!P34+'Caché - Emprise spatiale'!I78</f>
        <v>2138.1952004604213</v>
      </c>
      <c r="L18" s="366"/>
      <c r="P18" s="308"/>
      <c r="Q18" s="308"/>
      <c r="R18" s="327"/>
      <c r="T18" s="292"/>
      <c r="U18" s="292"/>
      <c r="V18" s="292"/>
      <c r="Z18" s="54"/>
      <c r="AA18" s="53"/>
      <c r="AB18" s="282"/>
      <c r="AC18" s="54"/>
      <c r="AF18" s="16"/>
    </row>
    <row r="19" spans="1:32">
      <c r="A19" s="502" t="s">
        <v>155</v>
      </c>
      <c r="B19">
        <f>'Clés de répartition'!F111</f>
        <v>12.7484946380828</v>
      </c>
      <c r="C19">
        <f>'Clés de répartition'!B111</f>
        <v>19.097289971195298</v>
      </c>
      <c r="D19">
        <f>'Clés de répartition'!J111</f>
        <v>35.467672663795902</v>
      </c>
      <c r="E19" s="224">
        <f>'Privé - Achat&amp;Utilisation'!B36</f>
        <v>1131.7723520789311</v>
      </c>
      <c r="F19">
        <f>'Privé - Contravention'!$B$8+'Privé - Permis, etc'!$C$6+'Privé - Permis, etc'!$C$7+'Caché - Accident'!$B$6</f>
        <v>535.79560301458696</v>
      </c>
      <c r="G19">
        <f>'Indirect - Prov. &amp; Féd.'!$B$8</f>
        <v>155.51443112853329</v>
      </c>
      <c r="H19" s="88">
        <f>'Indirect - Prov. &amp; Féd.'!$B$10</f>
        <v>934.08830600232091</v>
      </c>
      <c r="I19">
        <f>'Indirect - Villes'!K31+'Indirect - Villes'!S31</f>
        <v>1834.2000733876782</v>
      </c>
      <c r="J19">
        <f>'Caché - Accident'!$B$7</f>
        <v>1674.0990702518939</v>
      </c>
      <c r="K19" s="224">
        <f>'Caché - Emprise spatiale'!L35+'Caché - Emprise spatiale'!P35+'Caché - Emprise spatiale'!I79</f>
        <v>1745.9411049703076</v>
      </c>
      <c r="L19" s="366"/>
      <c r="P19" s="308"/>
      <c r="Q19" s="308"/>
      <c r="R19" s="327"/>
      <c r="T19" s="292"/>
      <c r="U19" s="292"/>
      <c r="V19" s="292"/>
      <c r="Z19" s="54"/>
      <c r="AA19" s="53"/>
      <c r="AB19" s="282"/>
      <c r="AC19" s="54"/>
      <c r="AF19" s="16"/>
    </row>
    <row r="20" spans="1:32">
      <c r="A20" s="502" t="s">
        <v>156</v>
      </c>
      <c r="B20">
        <f>'Clés de répartition'!F112</f>
        <v>9.5440550448648604</v>
      </c>
      <c r="C20">
        <f>'Clés de répartition'!B112</f>
        <v>16.0456789914094</v>
      </c>
      <c r="D20">
        <f>'Clés de répartition'!J112</f>
        <v>26.4595319823168</v>
      </c>
      <c r="E20" s="224">
        <f>'Privé - Achat&amp;Utilisation'!B37</f>
        <v>774.80902084502327</v>
      </c>
      <c r="F20">
        <f>'Privé - Contravention'!$B$8+'Privé - Permis, etc'!$C$6+'Privé - Permis, etc'!$C$7+'Caché - Accident'!$B$6</f>
        <v>535.79560301458696</v>
      </c>
      <c r="G20">
        <f>'Indirect - Prov. &amp; Féd.'!$B$8</f>
        <v>155.51443112853329</v>
      </c>
      <c r="H20" s="88">
        <f>'Indirect - Prov. &amp; Féd.'!$B$10</f>
        <v>934.08830600232091</v>
      </c>
      <c r="I20">
        <f>'Indirect - Villes'!K32+'Indirect - Villes'!S32</f>
        <v>1788.5168466448474</v>
      </c>
      <c r="J20">
        <f>'Caché - Accident'!$B$7</f>
        <v>1674.0990702518939</v>
      </c>
      <c r="K20" s="224">
        <f>'Caché - Emprise spatiale'!L36+'Caché - Emprise spatiale'!P36+'Caché - Emprise spatiale'!I80</f>
        <v>1765.4748734853906</v>
      </c>
      <c r="L20" s="366"/>
      <c r="N20" s="54"/>
      <c r="P20" s="308"/>
      <c r="Q20" s="308"/>
      <c r="R20" s="327"/>
      <c r="T20" s="292"/>
      <c r="U20" s="292"/>
      <c r="V20" s="292"/>
      <c r="Z20" s="54"/>
      <c r="AA20" s="53"/>
      <c r="AB20" s="282"/>
      <c r="AC20" s="54"/>
      <c r="AF20" s="16"/>
    </row>
    <row r="21" spans="1:32">
      <c r="A21" s="502" t="s">
        <v>403</v>
      </c>
      <c r="B21">
        <f>'Clés de répartition'!F113</f>
        <v>17.853007202827399</v>
      </c>
      <c r="C21">
        <f>'Clés de répartition'!B113</f>
        <v>22.338950889609599</v>
      </c>
      <c r="D21">
        <f>'Clés de répartition'!J113</f>
        <v>35.7570491126287</v>
      </c>
      <c r="E21" s="224">
        <f>'Privé - Achat&amp;Utilisation'!B38</f>
        <v>2731.8210634871225</v>
      </c>
      <c r="F21">
        <f>'Privé - Contravention'!$B$8+'Privé - Permis, etc'!$C$6+'Privé - Permis, etc'!$C$7+'Caché - Accident'!$B$6</f>
        <v>535.79560301458696</v>
      </c>
      <c r="G21">
        <f>'Indirect - Prov. &amp; Féd.'!$B$8</f>
        <v>155.51443112853329</v>
      </c>
      <c r="H21" s="88">
        <f>'Indirect - Prov. &amp; Féd.'!$B$10</f>
        <v>934.08830600232091</v>
      </c>
      <c r="I21">
        <f>'Indirect - Villes'!K33+'Indirect - Villes'!S33</f>
        <v>1885.3799132372192</v>
      </c>
      <c r="J21">
        <f>'Caché - Accident'!$B$7</f>
        <v>1674.0990702518939</v>
      </c>
      <c r="K21" s="224">
        <f>'Caché - Emprise spatiale'!L37+'Caché - Emprise spatiale'!P37+'Caché - Emprise spatiale'!I81</f>
        <v>284.32303868733266</v>
      </c>
      <c r="L21" s="366"/>
      <c r="P21" s="308"/>
      <c r="Q21" s="308"/>
      <c r="R21" s="327"/>
      <c r="T21" s="292"/>
      <c r="U21" s="292"/>
      <c r="V21" s="292"/>
      <c r="Z21" s="54"/>
      <c r="AA21" s="53"/>
      <c r="AB21" s="282"/>
      <c r="AC21" s="54"/>
      <c r="AF21" s="16"/>
    </row>
    <row r="22" spans="1:32">
      <c r="A22" s="502" t="s">
        <v>168</v>
      </c>
      <c r="B22">
        <f>'Clés de répartition'!F114</f>
        <v>13.0915828566429</v>
      </c>
      <c r="C22">
        <f>'Clés de répartition'!B114</f>
        <v>19.018065070315298</v>
      </c>
      <c r="D22">
        <f>'Clés de répartition'!J114</f>
        <v>31.574796101030799</v>
      </c>
      <c r="E22" s="224">
        <f>'Privé - Achat&amp;Utilisation'!B39</f>
        <v>1233.5020652570431</v>
      </c>
      <c r="F22">
        <f>'Privé - Contravention'!$B$8+'Privé - Permis, etc'!$C$6+'Privé - Permis, etc'!$C$7+'Caché - Accident'!$B$6</f>
        <v>535.79560301458696</v>
      </c>
      <c r="G22">
        <f>'Indirect - Prov. &amp; Féd.'!$B$8</f>
        <v>155.51443112853329</v>
      </c>
      <c r="H22" s="88">
        <f>'Indirect - Prov. &amp; Féd.'!$B$10</f>
        <v>934.08830600232091</v>
      </c>
      <c r="I22">
        <f>'Indirect - Villes'!K34+'Indirect - Villes'!S34</f>
        <v>1808.6003884869758</v>
      </c>
      <c r="J22">
        <f>'Caché - Accident'!$B$7</f>
        <v>1674.0990702518939</v>
      </c>
      <c r="K22" s="224">
        <f>'Caché - Emprise spatiale'!L38+'Caché - Emprise spatiale'!P38+'Caché - Emprise spatiale'!I82</f>
        <v>1489.5608455863219</v>
      </c>
      <c r="L22" s="366"/>
      <c r="N22" s="54"/>
      <c r="P22" s="308"/>
      <c r="Q22" s="308"/>
      <c r="R22" s="327"/>
      <c r="T22" s="292"/>
      <c r="U22" s="292"/>
      <c r="V22" s="292"/>
      <c r="Z22" s="54"/>
      <c r="AA22" s="53"/>
      <c r="AB22" s="282"/>
      <c r="AC22" s="54"/>
      <c r="AF22" s="16"/>
    </row>
    <row r="23" spans="1:32">
      <c r="A23" s="502" t="s">
        <v>167</v>
      </c>
      <c r="B23">
        <f>'Clés de répartition'!F115</f>
        <v>12.349142342935901</v>
      </c>
      <c r="C23">
        <f>'Clés de répartition'!B115</f>
        <v>16.1470056204932</v>
      </c>
      <c r="D23">
        <f>'Clés de répartition'!J115</f>
        <v>26.604761249135802</v>
      </c>
      <c r="E23" s="224">
        <f>'Privé - Achat&amp;Utilisation'!B40</f>
        <v>1045.8269467022881</v>
      </c>
      <c r="F23">
        <f>'Privé - Contravention'!$B$8+'Privé - Permis, etc'!$C$6+'Privé - Permis, etc'!$C$7+'Caché - Accident'!$B$6</f>
        <v>535.79560301458696</v>
      </c>
      <c r="G23">
        <f>'Indirect - Prov. &amp; Féd.'!$B$8</f>
        <v>155.51443112853329</v>
      </c>
      <c r="H23" s="88">
        <f>'Indirect - Prov. &amp; Féd.'!$B$10</f>
        <v>934.08830600232091</v>
      </c>
      <c r="I23">
        <f>'Indirect - Villes'!K35+'Indirect - Villes'!S35</f>
        <v>1804.5436153951325</v>
      </c>
      <c r="J23">
        <f>'Caché - Accident'!$B$7</f>
        <v>1674.0990702518939</v>
      </c>
      <c r="K23" s="224">
        <f>'Caché - Emprise spatiale'!L39+'Caché - Emprise spatiale'!P39+'Caché - Emprise spatiale'!I83</f>
        <v>1720.8517004811558</v>
      </c>
      <c r="L23" s="366"/>
      <c r="P23" s="308"/>
      <c r="Q23" s="308"/>
      <c r="R23" s="327"/>
      <c r="T23" s="292"/>
      <c r="U23" s="292"/>
      <c r="V23" s="292"/>
      <c r="Z23" s="54"/>
      <c r="AA23" s="53"/>
      <c r="AB23" s="282"/>
      <c r="AC23" s="54"/>
      <c r="AF23" s="16"/>
    </row>
    <row r="24" spans="1:32">
      <c r="A24" s="502" t="s">
        <v>170</v>
      </c>
      <c r="B24">
        <f>'Clés de répartition'!F116</f>
        <v>11.4980443142568</v>
      </c>
      <c r="C24">
        <f>'Clés de répartition'!B116</f>
        <v>18.920830050360699</v>
      </c>
      <c r="D24">
        <f>'Clés de répartition'!J116</f>
        <v>33.3478615277375</v>
      </c>
      <c r="E24" s="224">
        <f>'Privé - Achat&amp;Utilisation'!B41</f>
        <v>861.8320049591282</v>
      </c>
      <c r="F24">
        <f>'Privé - Contravention'!$B$8+'Privé - Permis, etc'!$C$6+'Privé - Permis, etc'!$C$7+'Caché - Accident'!$B$6</f>
        <v>535.79560301458696</v>
      </c>
      <c r="G24">
        <f>'Indirect - Prov. &amp; Féd.'!$B$8</f>
        <v>155.51443112853329</v>
      </c>
      <c r="H24" s="88">
        <f>'Indirect - Prov. &amp; Féd.'!$B$10</f>
        <v>934.08830600232091</v>
      </c>
      <c r="I24">
        <f>'Indirect - Villes'!K36+'Indirect - Villes'!S36</f>
        <v>1794.6244224272475</v>
      </c>
      <c r="J24">
        <f>'Caché - Accident'!$B$7</f>
        <v>1674.0990702518939</v>
      </c>
      <c r="K24" s="224">
        <f>'Caché - Emprise spatiale'!L40+'Caché - Emprise spatiale'!P40+'Caché - Emprise spatiale'!I84</f>
        <v>1592.3506972988953</v>
      </c>
      <c r="L24" s="366"/>
      <c r="N24" s="53"/>
      <c r="P24" s="308"/>
      <c r="Q24" s="308"/>
      <c r="R24" s="327"/>
      <c r="T24" s="292"/>
      <c r="U24" s="292"/>
      <c r="V24" s="292"/>
      <c r="Z24" s="54"/>
      <c r="AA24" s="53"/>
      <c r="AB24" s="282"/>
      <c r="AC24" s="54"/>
      <c r="AF24" s="16"/>
    </row>
    <row r="25" spans="1:32">
      <c r="A25" s="502" t="s">
        <v>171</v>
      </c>
      <c r="B25">
        <f>'Clés de répartition'!F117</f>
        <v>11.3011809864834</v>
      </c>
      <c r="C25">
        <f>'Clés de répartition'!B117</f>
        <v>20.0037901376047</v>
      </c>
      <c r="D25">
        <f>'Clés de répartition'!J117</f>
        <v>34.4524969913669</v>
      </c>
      <c r="E25" s="224">
        <f>'Privé - Achat&amp;Utilisation'!B42</f>
        <v>888.91187077162397</v>
      </c>
      <c r="F25">
        <f>'Privé - Contravention'!$B$8+'Privé - Permis, etc'!$C$6+'Privé - Permis, etc'!$C$7+'Caché - Accident'!$B$6</f>
        <v>535.79560301458696</v>
      </c>
      <c r="G25">
        <f>'Indirect - Prov. &amp; Féd.'!$B$8</f>
        <v>155.51443112853329</v>
      </c>
      <c r="H25" s="88">
        <f>'Indirect - Prov. &amp; Féd.'!$B$10</f>
        <v>934.08830600232091</v>
      </c>
      <c r="I25">
        <f>'Indirect - Villes'!K37+'Indirect - Villes'!S37</f>
        <v>1822.2267306592814</v>
      </c>
      <c r="J25">
        <f>'Caché - Accident'!$B$7</f>
        <v>1674.0990702518939</v>
      </c>
      <c r="K25" s="224">
        <f>'Caché - Emprise spatiale'!L41+'Caché - Emprise spatiale'!P41+'Caché - Emprise spatiale'!I85</f>
        <v>1202.790356240451</v>
      </c>
      <c r="L25" s="366"/>
      <c r="P25" s="308"/>
      <c r="Q25" s="308"/>
      <c r="R25" s="327"/>
      <c r="T25" s="292"/>
      <c r="U25" s="292"/>
      <c r="V25" s="292"/>
      <c r="Z25" s="54"/>
      <c r="AA25" s="53"/>
      <c r="AB25" s="282"/>
      <c r="AC25" s="54"/>
      <c r="AF25" s="16"/>
    </row>
    <row r="26" spans="1:32">
      <c r="A26" s="502" t="s">
        <v>172</v>
      </c>
      <c r="B26">
        <f>'Clés de répartition'!F118</f>
        <v>8.3353296055151294</v>
      </c>
      <c r="C26">
        <f>'Clés de répartition'!B118</f>
        <v>16.770732133282301</v>
      </c>
      <c r="D26">
        <f>'Clés de répartition'!J118</f>
        <v>25.952894982765201</v>
      </c>
      <c r="E26" s="224">
        <f>'Privé - Achat&amp;Utilisation'!B43</f>
        <v>954.64004886299244</v>
      </c>
      <c r="F26">
        <f>'Privé - Contravention'!$B$8+'Privé - Permis, etc'!$C$6+'Privé - Permis, etc'!$C$7+'Caché - Accident'!$B$6</f>
        <v>535.79560301458696</v>
      </c>
      <c r="G26">
        <f>'Indirect - Prov. &amp; Féd.'!$B$8</f>
        <v>155.51443112853329</v>
      </c>
      <c r="H26" s="88">
        <f>'Indirect - Prov. &amp; Féd.'!$B$10</f>
        <v>934.08830600232091</v>
      </c>
      <c r="I26">
        <f>'Indirect - Villes'!K38+'Indirect - Villes'!S38</f>
        <v>1776.2798859443453</v>
      </c>
      <c r="J26">
        <f>'Caché - Accident'!$B$7</f>
        <v>1674.0990702518939</v>
      </c>
      <c r="K26" s="224">
        <f>'Caché - Emprise spatiale'!L42+'Caché - Emprise spatiale'!P42+'Caché - Emprise spatiale'!I86</f>
        <v>4672.551251491358</v>
      </c>
      <c r="L26" s="366"/>
      <c r="P26" s="308"/>
      <c r="Q26" s="308"/>
      <c r="R26" s="327"/>
      <c r="T26" s="292"/>
      <c r="U26" s="292"/>
      <c r="V26" s="292"/>
      <c r="Z26" s="54"/>
      <c r="AA26" s="53"/>
      <c r="AB26" s="282"/>
      <c r="AC26" s="54"/>
      <c r="AF26" s="16"/>
    </row>
    <row r="27" spans="1:32">
      <c r="A27" s="502" t="s">
        <v>173</v>
      </c>
      <c r="B27">
        <f>'Clés de répartition'!F119</f>
        <v>15.6058579068836</v>
      </c>
      <c r="C27">
        <f>'Clés de répartition'!B119</f>
        <v>20.1820562457678</v>
      </c>
      <c r="D27">
        <f>'Clés de répartition'!J119</f>
        <v>33.998674368789899</v>
      </c>
      <c r="E27" s="224">
        <f>'Privé - Achat&amp;Utilisation'!B44</f>
        <v>1832.9557457491176</v>
      </c>
      <c r="F27">
        <f>'Privé - Contravention'!$B$8+'Privé - Permis, etc'!$C$6+'Privé - Permis, etc'!$C$7+'Caché - Accident'!$B$6</f>
        <v>535.79560301458696</v>
      </c>
      <c r="G27">
        <f>'Indirect - Prov. &amp; Féd.'!$B$8</f>
        <v>155.51443112853329</v>
      </c>
      <c r="H27" s="88">
        <f>'Indirect - Prov. &amp; Féd.'!$B$10</f>
        <v>934.08830600232091</v>
      </c>
      <c r="I27">
        <f>'Indirect - Villes'!K39+'Indirect - Villes'!S39</f>
        <v>1789.2153361268429</v>
      </c>
      <c r="J27">
        <f>'Caché - Accident'!$B$7</f>
        <v>1674.0990702518939</v>
      </c>
      <c r="K27" s="224">
        <f>'Caché - Emprise spatiale'!L43+'Caché - Emprise spatiale'!P43+'Caché - Emprise spatiale'!I87</f>
        <v>742.9124747455661</v>
      </c>
      <c r="L27" s="366"/>
      <c r="P27" s="308"/>
      <c r="Q27" s="308"/>
      <c r="R27" s="327"/>
      <c r="T27" s="292"/>
      <c r="U27" s="292"/>
      <c r="V27" s="292"/>
      <c r="Z27" s="54"/>
      <c r="AA27" s="53"/>
      <c r="AB27" s="282"/>
      <c r="AC27" s="54"/>
      <c r="AF27" s="16"/>
    </row>
    <row r="28" spans="1:32">
      <c r="A28" s="502" t="s">
        <v>350</v>
      </c>
      <c r="B28">
        <f>'Clés de répartition'!F120</f>
        <v>10.6728142913478</v>
      </c>
      <c r="C28">
        <f>'Clés de répartition'!B120</f>
        <v>19.940048276417301</v>
      </c>
      <c r="D28">
        <f>'Clés de répartition'!J120</f>
        <v>31.1286403461493</v>
      </c>
      <c r="E28" s="224">
        <f>'Privé - Achat&amp;Utilisation'!B45</f>
        <v>757.29364970041854</v>
      </c>
      <c r="F28">
        <f>'Privé - Contravention'!$B$8+'Privé - Permis, etc'!$C$6+'Privé - Permis, etc'!$C$7+'Caché - Accident'!$B$6</f>
        <v>535.79560301458696</v>
      </c>
      <c r="G28">
        <f>'Indirect - Prov. &amp; Féd.'!$B$8</f>
        <v>155.51443112853329</v>
      </c>
      <c r="H28" s="88">
        <f>'Indirect - Prov. &amp; Féd.'!$B$10</f>
        <v>934.08830600232091</v>
      </c>
      <c r="I28">
        <f>'Indirect - Villes'!K40+'Indirect - Villes'!S40</f>
        <v>1789.8238199259363</v>
      </c>
      <c r="J28">
        <f>'Caché - Accident'!$B$7</f>
        <v>1674.0990702518939</v>
      </c>
      <c r="K28" s="224">
        <f>'Caché - Emprise spatiale'!L44+'Caché - Emprise spatiale'!P44+'Caché - Emprise spatiale'!I88</f>
        <v>4948.0461105228205</v>
      </c>
      <c r="L28" s="366"/>
      <c r="P28" s="308"/>
      <c r="Q28" s="308"/>
      <c r="R28" s="327"/>
      <c r="T28" s="292"/>
      <c r="U28" s="292"/>
      <c r="V28" s="292"/>
      <c r="Z28" s="54"/>
      <c r="AA28" s="53"/>
      <c r="AB28" s="282"/>
      <c r="AC28" s="54"/>
      <c r="AF28" s="16"/>
    </row>
    <row r="29" spans="1:32">
      <c r="A29" s="502" t="s">
        <v>174</v>
      </c>
      <c r="B29">
        <f>'Clés de répartition'!F121</f>
        <v>16.203951498692401</v>
      </c>
      <c r="C29">
        <f>'Clés de répartition'!B121</f>
        <v>22.044967908657199</v>
      </c>
      <c r="D29">
        <f>'Clés de répartition'!J121</f>
        <v>39.906750445902702</v>
      </c>
      <c r="E29" s="224">
        <f>'Privé - Achat&amp;Utilisation'!B46</f>
        <v>1707.2910148351723</v>
      </c>
      <c r="F29">
        <f>'Privé - Contravention'!$B$8+'Privé - Permis, etc'!$C$6+'Privé - Permis, etc'!$C$7+'Caché - Accident'!$B$6</f>
        <v>535.79560301458696</v>
      </c>
      <c r="G29">
        <f>'Indirect - Prov. &amp; Féd.'!$B$8</f>
        <v>155.51443112853329</v>
      </c>
      <c r="H29" s="88">
        <f>'Indirect - Prov. &amp; Féd.'!$B$10</f>
        <v>934.08830600232091</v>
      </c>
      <c r="I29">
        <f>'Indirect - Villes'!K41+'Indirect - Villes'!S41</f>
        <v>1826.9735749331087</v>
      </c>
      <c r="J29">
        <f>'Caché - Accident'!$B$7</f>
        <v>1674.0990702518939</v>
      </c>
      <c r="K29" s="224">
        <f>'Caché - Emprise spatiale'!L45+'Caché - Emprise spatiale'!P45+'Caché - Emprise spatiale'!I89</f>
        <v>950.53127069425329</v>
      </c>
      <c r="L29" s="366"/>
      <c r="P29" s="308"/>
      <c r="Q29" s="308"/>
      <c r="R29" s="327"/>
      <c r="T29" s="292"/>
      <c r="U29" s="292"/>
      <c r="V29" s="292"/>
      <c r="Z29" s="54"/>
      <c r="AA29" s="53"/>
      <c r="AB29" s="282"/>
      <c r="AC29" s="54"/>
      <c r="AF29" s="16"/>
    </row>
    <row r="30" spans="1:32">
      <c r="A30" s="502" t="s">
        <v>175</v>
      </c>
      <c r="B30">
        <f>'Clés de répartition'!F122</f>
        <v>10.4575282644737</v>
      </c>
      <c r="C30">
        <f>'Clés de répartition'!B122</f>
        <v>19.524723924705999</v>
      </c>
      <c r="D30">
        <f>'Clés de répartition'!J122</f>
        <v>33.844158686009798</v>
      </c>
      <c r="E30" s="224">
        <f>'Privé - Achat&amp;Utilisation'!B47</f>
        <v>776.38426010383239</v>
      </c>
      <c r="F30">
        <f>'Privé - Contravention'!$B$8+'Privé - Permis, etc'!$C$6+'Privé - Permis, etc'!$C$7+'Caché - Accident'!$B$6</f>
        <v>535.79560301458696</v>
      </c>
      <c r="G30">
        <f>'Indirect - Prov. &amp; Féd.'!$B$8</f>
        <v>155.51443112853329</v>
      </c>
      <c r="H30" s="88">
        <f>'Indirect - Prov. &amp; Féd.'!$B$10</f>
        <v>934.08830600232091</v>
      </c>
      <c r="I30">
        <f>'Indirect - Villes'!K42+'Indirect - Villes'!S42</f>
        <v>1799.8172930559633</v>
      </c>
      <c r="J30">
        <f>'Caché - Accident'!$B$7</f>
        <v>1674.0990702518939</v>
      </c>
      <c r="K30" s="224">
        <f>'Caché - Emprise spatiale'!L46+'Caché - Emprise spatiale'!P46+'Caché - Emprise spatiale'!I90</f>
        <v>2707.8725360912986</v>
      </c>
      <c r="L30" s="366"/>
      <c r="P30" s="308"/>
      <c r="Q30" s="308"/>
      <c r="R30" s="327"/>
      <c r="T30" s="292"/>
      <c r="U30" s="292"/>
      <c r="V30" s="292"/>
      <c r="Z30" s="54"/>
      <c r="AA30" s="53"/>
      <c r="AB30" s="282"/>
      <c r="AC30" s="54"/>
      <c r="AF30" s="16"/>
    </row>
    <row r="31" spans="1:32">
      <c r="A31" s="502" t="s">
        <v>176</v>
      </c>
      <c r="B31">
        <f>'Clés de répartition'!F123</f>
        <v>11.1848858348266</v>
      </c>
      <c r="C31">
        <f>'Clés de répartition'!B123</f>
        <v>16.996067664924102</v>
      </c>
      <c r="D31">
        <f>'Clés de répartition'!J123</f>
        <v>28.163632533768698</v>
      </c>
      <c r="E31" s="224">
        <f>'Privé - Achat&amp;Utilisation'!B48</f>
        <v>1247.4433541984868</v>
      </c>
      <c r="F31">
        <f>'Privé - Contravention'!$B$8+'Privé - Permis, etc'!$C$6+'Privé - Permis, etc'!$C$7+'Caché - Accident'!$B$6</f>
        <v>535.79560301458696</v>
      </c>
      <c r="G31">
        <f>'Indirect - Prov. &amp; Féd.'!$B$8</f>
        <v>155.51443112853329</v>
      </c>
      <c r="H31" s="88">
        <f>'Indirect - Prov. &amp; Féd.'!$B$10</f>
        <v>934.08830600232091</v>
      </c>
      <c r="I31">
        <f>'Indirect - Villes'!K43+'Indirect - Villes'!S43</f>
        <v>1763.9233460362268</v>
      </c>
      <c r="J31">
        <f>'Caché - Accident'!$B$7</f>
        <v>1674.0990702518939</v>
      </c>
      <c r="K31" s="224">
        <f>'Caché - Emprise spatiale'!L47+'Caché - Emprise spatiale'!P47+'Caché - Emprise spatiale'!I91</f>
        <v>1814.2237738503579</v>
      </c>
      <c r="L31" s="366"/>
      <c r="P31" s="308"/>
      <c r="Q31" s="308"/>
      <c r="R31" s="327"/>
      <c r="T31" s="292"/>
      <c r="U31" s="292"/>
      <c r="V31" s="292"/>
      <c r="Z31" s="54"/>
      <c r="AA31" s="53"/>
      <c r="AB31" s="282"/>
      <c r="AC31" s="54"/>
      <c r="AF31" s="16"/>
    </row>
    <row r="32" spans="1:32">
      <c r="A32" s="502" t="s">
        <v>177</v>
      </c>
      <c r="B32">
        <f>'Clés de répartition'!F124</f>
        <v>11.020978019902801</v>
      </c>
      <c r="C32">
        <f>'Clés de répartition'!B124</f>
        <v>18.768736695744298</v>
      </c>
      <c r="D32">
        <f>'Clés de répartition'!J124</f>
        <v>34.499081939442</v>
      </c>
      <c r="E32" s="224">
        <f>'Privé - Achat&amp;Utilisation'!B49</f>
        <v>886.48916680110574</v>
      </c>
      <c r="F32">
        <f>'Privé - Contravention'!$B$8+'Privé - Permis, etc'!$C$6+'Privé - Permis, etc'!$C$7+'Caché - Accident'!$B$6</f>
        <v>535.79560301458696</v>
      </c>
      <c r="G32">
        <f>'Indirect - Prov. &amp; Féd.'!$B$8</f>
        <v>155.51443112853329</v>
      </c>
      <c r="H32" s="88">
        <f>'Indirect - Prov. &amp; Féd.'!$B$10</f>
        <v>934.08830600232091</v>
      </c>
      <c r="I32">
        <f>'Indirect - Villes'!K44+'Indirect - Villes'!S44</f>
        <v>1843.5667187265849</v>
      </c>
      <c r="J32">
        <f>'Caché - Accident'!$B$7</f>
        <v>1674.0990702518939</v>
      </c>
      <c r="K32" s="224">
        <f>'Caché - Emprise spatiale'!L48+'Caché - Emprise spatiale'!P48+'Caché - Emprise spatiale'!I92</f>
        <v>1567.8126362103731</v>
      </c>
      <c r="L32" s="366"/>
      <c r="P32" s="308"/>
      <c r="Q32" s="308"/>
      <c r="R32" s="327"/>
      <c r="T32" s="292"/>
      <c r="U32" s="292"/>
      <c r="V32" s="292"/>
      <c r="Z32" s="54"/>
      <c r="AA32" s="53"/>
      <c r="AB32" s="282"/>
      <c r="AC32" s="54"/>
      <c r="AF32" s="16"/>
    </row>
    <row r="33" spans="1:32">
      <c r="A33" s="502" t="s">
        <v>351</v>
      </c>
      <c r="B33">
        <f>'Clés de répartition'!F125</f>
        <v>12.6878555048858</v>
      </c>
      <c r="C33">
        <f>'Clés de répartition'!B125</f>
        <v>17.924003716481401</v>
      </c>
      <c r="D33">
        <f>'Clés de répartition'!J125</f>
        <v>29.7671927434426</v>
      </c>
      <c r="E33" s="224">
        <f>'Privé - Achat&amp;Utilisation'!B50</f>
        <v>932.11565956986738</v>
      </c>
      <c r="F33">
        <f>'Privé - Contravention'!$B$8+'Privé - Permis, etc'!$C$6+'Privé - Permis, etc'!$C$7+'Caché - Accident'!$B$6</f>
        <v>535.79560301458696</v>
      </c>
      <c r="G33">
        <f>'Indirect - Prov. &amp; Féd.'!$B$8</f>
        <v>155.51443112853329</v>
      </c>
      <c r="H33" s="88">
        <f>'Indirect - Prov. &amp; Féd.'!$B$10</f>
        <v>934.08830600232091</v>
      </c>
      <c r="I33">
        <f>'Indirect - Villes'!K45+'Indirect - Villes'!S45</f>
        <v>1755.5591906557377</v>
      </c>
      <c r="J33">
        <f>'Caché - Accident'!$B$7</f>
        <v>1674.0990702518939</v>
      </c>
      <c r="K33" s="224">
        <f>'Caché - Emprise spatiale'!L49+'Caché - Emprise spatiale'!P49+'Caché - Emprise spatiale'!I93</f>
        <v>1913.8608307310542</v>
      </c>
      <c r="L33" s="366"/>
      <c r="P33" s="308"/>
      <c r="Q33" s="308"/>
      <c r="R33" s="327"/>
      <c r="T33" s="292"/>
      <c r="U33" s="292"/>
      <c r="V33" s="292"/>
      <c r="Z33" s="54"/>
      <c r="AA33" s="53"/>
      <c r="AB33" s="282"/>
      <c r="AC33" s="54"/>
      <c r="AF33" s="16"/>
    </row>
    <row r="34" spans="1:32">
      <c r="A34" s="502" t="s">
        <v>856</v>
      </c>
      <c r="B34">
        <f>'Clés de répartition'!F126</f>
        <v>13.4249034439233</v>
      </c>
      <c r="C34">
        <f>'Clés de répartition'!B126</f>
        <v>18.595481067778</v>
      </c>
      <c r="D34">
        <f>'Clés de répartition'!J126</f>
        <v>31.390956236580699</v>
      </c>
      <c r="E34" s="224">
        <f>'Privé - Achat&amp;Utilisation'!B51</f>
        <v>1302.8370402869446</v>
      </c>
      <c r="F34">
        <f>'Privé - Contravention'!$B$8+'Privé - Permis, etc'!$C$6+'Privé - Permis, etc'!$C$7+'Caché - Accident'!$B$6</f>
        <v>535.79560301458696</v>
      </c>
      <c r="G34">
        <f>'Indirect - Prov. &amp; Féd.'!$B$8</f>
        <v>155.51443112853329</v>
      </c>
      <c r="H34" s="88">
        <f>'Indirect - Prov. &amp; Féd.'!$B$10</f>
        <v>934.08830600232091</v>
      </c>
      <c r="I34">
        <f>'Indirect - Villes'!K46+'Indirect - Villes'!S46</f>
        <v>1795.8138040477584</v>
      </c>
      <c r="J34">
        <f>'Caché - Accident'!$B$7</f>
        <v>1674.0990702518939</v>
      </c>
      <c r="K34" s="224">
        <f>'Caché - Emprise spatiale'!L50+'Caché - Emprise spatiale'!P50+'Caché - Emprise spatiale'!I94</f>
        <v>1849.4462879213788</v>
      </c>
      <c r="L34" s="366"/>
      <c r="P34" s="308"/>
      <c r="Q34" s="308"/>
      <c r="R34" s="327"/>
      <c r="T34" s="292"/>
      <c r="U34" s="292"/>
      <c r="V34" s="292"/>
      <c r="Z34" s="54"/>
      <c r="AA34" s="53"/>
      <c r="AB34" s="282"/>
      <c r="AC34" s="54"/>
      <c r="AF34" s="16"/>
    </row>
    <row r="35" spans="1:32">
      <c r="A35" s="502" t="s">
        <v>178</v>
      </c>
      <c r="B35">
        <f>'Clés de répartition'!F127</f>
        <v>11.010756646278701</v>
      </c>
      <c r="C35">
        <f>'Clés de répartition'!B127</f>
        <v>18.026982985789001</v>
      </c>
      <c r="D35">
        <f>'Clés de répartition'!J127</f>
        <v>28.934689051582499</v>
      </c>
      <c r="E35" s="224">
        <f>'Privé - Achat&amp;Utilisation'!B52</f>
        <v>917.33643816954418</v>
      </c>
      <c r="F35">
        <f>'Privé - Contravention'!$B$8+'Privé - Permis, etc'!$C$6+'Privé - Permis, etc'!$C$7+'Caché - Accident'!$B$6</f>
        <v>535.79560301458696</v>
      </c>
      <c r="G35">
        <f>'Indirect - Prov. &amp; Féd.'!$B$8</f>
        <v>155.51443112853329</v>
      </c>
      <c r="H35" s="88">
        <f>'Indirect - Prov. &amp; Féd.'!$B$10</f>
        <v>934.08830600232091</v>
      </c>
      <c r="I35">
        <f>'Indirect - Villes'!K47+'Indirect - Villes'!S47</f>
        <v>1870.6569264326811</v>
      </c>
      <c r="J35">
        <f>'Caché - Accident'!$B$7</f>
        <v>1674.0990702518939</v>
      </c>
      <c r="K35" s="224">
        <f>'Caché - Emprise spatiale'!L51+'Caché - Emprise spatiale'!P51+'Caché - Emprise spatiale'!I95</f>
        <v>5965.3032106916744</v>
      </c>
      <c r="L35" s="366"/>
    </row>
    <row r="36" spans="1:32" ht="15" customHeight="1">
      <c r="A36" s="502" t="s">
        <v>179</v>
      </c>
      <c r="B36">
        <f>'Clés de répartition'!F128</f>
        <v>11.334709183819699</v>
      </c>
      <c r="C36">
        <f>'Clés de répartition'!B128</f>
        <v>18.5653457983076</v>
      </c>
      <c r="D36">
        <f>'Clés de répartition'!J128</f>
        <v>31.350530414775399</v>
      </c>
      <c r="E36" s="224">
        <f>'Privé - Achat&amp;Utilisation'!B53</f>
        <v>734.60766570230464</v>
      </c>
      <c r="F36">
        <f>'Privé - Contravention'!$B$8+'Privé - Permis, etc'!$C$6+'Privé - Permis, etc'!$C$7+'Caché - Accident'!$B$6</f>
        <v>535.79560301458696</v>
      </c>
      <c r="G36">
        <f>'Indirect - Prov. &amp; Féd.'!$B$8</f>
        <v>155.51443112853329</v>
      </c>
      <c r="H36" s="88">
        <f>'Indirect - Prov. &amp; Féd.'!$B$10</f>
        <v>934.08830600232091</v>
      </c>
      <c r="I36">
        <f>'Indirect - Villes'!K48+'Indirect - Villes'!S48</f>
        <v>1768.2997599265043</v>
      </c>
      <c r="J36">
        <f>'Caché - Accident'!$B$7</f>
        <v>1674.0990702518939</v>
      </c>
      <c r="K36" s="224">
        <f>'Caché - Emprise spatiale'!L52+'Caché - Emprise spatiale'!P52+'Caché - Emprise spatiale'!I96</f>
        <v>1667.243714211017</v>
      </c>
      <c r="L36" s="366"/>
      <c r="M36" s="21"/>
      <c r="N36" s="21"/>
      <c r="O36" s="21"/>
      <c r="P36" s="308"/>
      <c r="Q36" s="308"/>
      <c r="R36" s="327"/>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E959F5-ADD0-CF42-9329-F1F6A1498304}">
  <sheetPr codeName="Sheet31">
    <tabColor rgb="FFF4B182"/>
  </sheetPr>
  <dimension ref="A1:AH38"/>
  <sheetViews>
    <sheetView zoomScale="60" zoomScaleNormal="130" workbookViewId="0">
      <selection activeCell="B3" sqref="B3:M38"/>
    </sheetView>
  </sheetViews>
  <sheetFormatPr baseColWidth="10" defaultRowHeight="16"/>
  <cols>
    <col min="1" max="1" width="36.6640625" customWidth="1"/>
    <col min="2" max="2" width="18.5" customWidth="1"/>
    <col min="3" max="3" width="10.33203125" bestFit="1" customWidth="1"/>
    <col min="4" max="4" width="15.1640625" customWidth="1"/>
    <col min="5" max="5" width="15" customWidth="1"/>
    <col min="6" max="6" width="17.5" customWidth="1"/>
    <col min="7" max="7" width="11.6640625" customWidth="1"/>
    <col min="8" max="8" width="13" customWidth="1"/>
    <col min="9" max="9" width="13.1640625" customWidth="1"/>
    <col min="10" max="14" width="13.83203125" customWidth="1"/>
    <col min="15" max="15" width="23" customWidth="1"/>
    <col min="16" max="17" width="18.83203125" customWidth="1"/>
    <col min="18" max="18" width="15.83203125" customWidth="1"/>
    <col min="19" max="19" width="13.5" customWidth="1"/>
    <col min="30" max="30" width="11.6640625" bestFit="1" customWidth="1"/>
  </cols>
  <sheetData>
    <row r="1" spans="1:34" s="114" customFormat="1">
      <c r="A1" s="592"/>
      <c r="B1" s="283"/>
      <c r="C1" s="283"/>
      <c r="D1" s="283"/>
      <c r="E1" s="283"/>
      <c r="F1" s="283"/>
      <c r="G1" s="283"/>
      <c r="H1" s="283"/>
      <c r="I1" s="138"/>
      <c r="J1" s="138"/>
      <c r="K1" s="138"/>
      <c r="L1" s="138"/>
      <c r="M1" s="138"/>
      <c r="N1" s="138"/>
      <c r="O1" s="138"/>
      <c r="P1" s="138"/>
      <c r="Q1" s="138"/>
      <c r="R1" s="138"/>
      <c r="S1" s="138"/>
      <c r="T1" s="138"/>
    </row>
    <row r="2" spans="1:34" ht="52" thickBot="1">
      <c r="A2" s="591" t="s">
        <v>10</v>
      </c>
      <c r="B2" s="283" t="s">
        <v>457</v>
      </c>
      <c r="C2" s="283" t="s">
        <v>458</v>
      </c>
      <c r="D2" s="283" t="s">
        <v>459</v>
      </c>
      <c r="E2" s="283" t="s">
        <v>460</v>
      </c>
      <c r="F2" s="283" t="s">
        <v>461</v>
      </c>
      <c r="G2" s="283" t="s">
        <v>600</v>
      </c>
      <c r="H2" s="283" t="s">
        <v>578</v>
      </c>
      <c r="I2" s="138" t="s">
        <v>465</v>
      </c>
      <c r="J2" s="138" t="s">
        <v>464</v>
      </c>
      <c r="K2" s="138" t="s">
        <v>572</v>
      </c>
      <c r="L2" s="138" t="s">
        <v>570</v>
      </c>
      <c r="M2" s="138" t="s">
        <v>571</v>
      </c>
      <c r="N2" s="366"/>
      <c r="O2" s="21"/>
      <c r="P2" s="21"/>
      <c r="Q2" s="21"/>
      <c r="R2" s="308"/>
      <c r="S2" s="308"/>
      <c r="T2" s="327"/>
      <c r="AB2" s="54"/>
    </row>
    <row r="3" spans="1:34" ht="17">
      <c r="A3" s="298" t="s">
        <v>202</v>
      </c>
      <c r="B3" s="282">
        <v>3272.909751619819</v>
      </c>
      <c r="C3" s="282">
        <v>535.79560301458696</v>
      </c>
      <c r="D3" s="282">
        <v>2167.4910009752771</v>
      </c>
      <c r="E3" s="282">
        <v>2849.9270299362952</v>
      </c>
      <c r="F3" s="53">
        <v>678.81993073148044</v>
      </c>
      <c r="G3" s="53">
        <v>2053.8338069208912</v>
      </c>
      <c r="H3" s="282">
        <v>3686.8496076755923</v>
      </c>
      <c r="I3" s="54">
        <v>5976.1963556096835</v>
      </c>
      <c r="J3" s="54">
        <v>9269.4303752642591</v>
      </c>
      <c r="K3" s="54">
        <v>1.5510585368506695</v>
      </c>
      <c r="L3" s="54">
        <v>0.9714137406937875</v>
      </c>
      <c r="M3" s="54">
        <v>1.5067195753171416</v>
      </c>
      <c r="N3" s="366"/>
      <c r="R3" s="308"/>
      <c r="S3" s="308"/>
      <c r="T3" s="327"/>
      <c r="V3" s="292"/>
      <c r="W3" s="292"/>
      <c r="X3" s="292"/>
      <c r="AB3" s="54"/>
      <c r="AC3" s="53"/>
      <c r="AD3" s="282"/>
      <c r="AE3" s="54"/>
    </row>
    <row r="4" spans="1:34">
      <c r="A4" s="347" t="e" vm="1">
        <v>#VALUE!</v>
      </c>
      <c r="B4" s="282">
        <v>5166.4107641737255</v>
      </c>
      <c r="C4" s="282">
        <v>535.79560301458696</v>
      </c>
      <c r="D4" s="282">
        <v>1852.5689260118947</v>
      </c>
      <c r="E4" s="282">
        <v>4169.1447210011147</v>
      </c>
      <c r="F4" s="53">
        <v>747.19822646730017</v>
      </c>
      <c r="G4" s="53">
        <v>1058.6599171175521</v>
      </c>
      <c r="H4" s="282">
        <v>3835.2502639727973</v>
      </c>
      <c r="I4" s="54">
        <v>7554.7752932002077</v>
      </c>
      <c r="J4" s="54">
        <v>9810.2531285587647</v>
      </c>
      <c r="K4" s="54">
        <v>1.2985499565273153</v>
      </c>
      <c r="L4" s="54">
        <v>0.97017582916571232</v>
      </c>
      <c r="M4" s="54">
        <v>1.2598217807869876</v>
      </c>
      <c r="N4" s="366"/>
      <c r="R4" s="308"/>
      <c r="S4" s="308"/>
      <c r="T4" s="327"/>
      <c r="V4" s="292"/>
      <c r="W4" s="292"/>
      <c r="X4" s="292"/>
      <c r="AB4" s="54"/>
      <c r="AC4" s="53"/>
      <c r="AD4" s="282"/>
      <c r="AE4" s="54"/>
      <c r="AH4" s="16"/>
    </row>
    <row r="5" spans="1:34">
      <c r="A5" s="347" t="e" vm="2">
        <v>#VALUE!</v>
      </c>
      <c r="B5" s="282">
        <v>5537.9746080126024</v>
      </c>
      <c r="C5" s="282">
        <v>535.79560301458696</v>
      </c>
      <c r="D5" s="282">
        <v>2184.5293997688464</v>
      </c>
      <c r="E5" s="282">
        <v>1818.5244144284034</v>
      </c>
      <c r="F5" s="53">
        <v>846.47172346113916</v>
      </c>
      <c r="G5" s="53">
        <v>1681.9725595357745</v>
      </c>
      <c r="H5" s="282">
        <v>3220.1410286852124</v>
      </c>
      <c r="I5" s="54">
        <v>8258.2996107960353</v>
      </c>
      <c r="J5" s="54">
        <v>7567.1097261105288</v>
      </c>
      <c r="K5" s="54">
        <v>0.91630360761167862</v>
      </c>
      <c r="L5" s="54">
        <v>0.95056910478028922</v>
      </c>
      <c r="M5" s="54">
        <v>0.87100989999438283</v>
      </c>
      <c r="N5" s="366"/>
      <c r="P5" s="54"/>
      <c r="R5" s="308"/>
      <c r="S5" s="308"/>
      <c r="T5" s="327"/>
      <c r="V5" s="292"/>
      <c r="W5" s="292"/>
      <c r="X5" s="292"/>
      <c r="AB5" s="54"/>
      <c r="AC5" s="53"/>
      <c r="AD5" s="282"/>
      <c r="AE5" s="54"/>
      <c r="AH5" s="16"/>
    </row>
    <row r="6" spans="1:34">
      <c r="A6" s="347" t="e" vm="3">
        <v>#VALUE!</v>
      </c>
      <c r="B6" s="282">
        <v>3077.6638217571399</v>
      </c>
      <c r="C6" s="282">
        <v>535.79560301458696</v>
      </c>
      <c r="D6" s="282">
        <v>2052.3902717410629</v>
      </c>
      <c r="E6" s="282">
        <v>2005.3392605084582</v>
      </c>
      <c r="F6" s="53">
        <v>567.50220290208279</v>
      </c>
      <c r="G6" s="53">
        <v>2158.5349944249083</v>
      </c>
      <c r="H6" s="282">
        <v>2659.7022256575347</v>
      </c>
      <c r="I6" s="54">
        <v>5665.8496965127897</v>
      </c>
      <c r="J6" s="54">
        <v>7391.0786834929841</v>
      </c>
      <c r="K6" s="54">
        <v>1.3044960737384255</v>
      </c>
      <c r="L6" s="54">
        <v>1.2432288631014463</v>
      </c>
      <c r="M6" s="54">
        <v>1.6217871706741231</v>
      </c>
      <c r="N6" s="366"/>
      <c r="P6" s="54"/>
      <c r="R6" s="308"/>
      <c r="S6" s="308"/>
      <c r="T6" s="327"/>
      <c r="V6" s="292"/>
      <c r="W6" s="292"/>
      <c r="X6" s="292"/>
      <c r="AB6" s="54"/>
      <c r="AC6" s="53"/>
      <c r="AD6" s="282"/>
      <c r="AE6" s="54"/>
      <c r="AH6" s="16"/>
    </row>
    <row r="7" spans="1:34">
      <c r="A7" s="347" t="e" vm="4">
        <v>#VALUE!</v>
      </c>
      <c r="B7" s="282">
        <v>4403.0139244778293</v>
      </c>
      <c r="C7" s="282">
        <v>535.79560301458696</v>
      </c>
      <c r="D7" s="282">
        <v>2228.2053719712503</v>
      </c>
      <c r="E7" s="282">
        <v>1846.1888617529257</v>
      </c>
      <c r="F7" s="53">
        <v>773.233085361196</v>
      </c>
      <c r="G7" s="53">
        <v>2121.5472587850672</v>
      </c>
      <c r="H7" s="282">
        <v>3118.6720733654211</v>
      </c>
      <c r="I7" s="54">
        <v>7167.0148994636666</v>
      </c>
      <c r="J7" s="54">
        <v>7859.6412792646106</v>
      </c>
      <c r="K7" s="54">
        <v>1.0966408455286978</v>
      </c>
      <c r="L7" s="54">
        <v>0.95335676087192112</v>
      </c>
      <c r="M7" s="54">
        <v>1.0454899643330842</v>
      </c>
      <c r="N7" s="366"/>
      <c r="R7" s="308"/>
      <c r="S7" s="308"/>
      <c r="T7" s="327"/>
      <c r="V7" s="292"/>
      <c r="W7" s="292"/>
      <c r="X7" s="292"/>
      <c r="AB7" s="54"/>
      <c r="AC7" s="53"/>
      <c r="AD7" s="282"/>
      <c r="AE7" s="54"/>
      <c r="AH7" s="16"/>
    </row>
    <row r="8" spans="1:34">
      <c r="A8" s="347" t="e" vm="5">
        <v>#VALUE!</v>
      </c>
      <c r="B8" s="282">
        <v>3897.7857691734616</v>
      </c>
      <c r="C8" s="282">
        <v>535.79560301458696</v>
      </c>
      <c r="D8" s="282">
        <v>1855.7637756956199</v>
      </c>
      <c r="E8" s="282">
        <v>3075.5976837006388</v>
      </c>
      <c r="F8" s="53">
        <v>678.47837249347458</v>
      </c>
      <c r="G8" s="53">
        <v>1436.3498384203608</v>
      </c>
      <c r="H8" s="282">
        <v>3193.7115537622003</v>
      </c>
      <c r="I8" s="54">
        <v>6289.3451478836687</v>
      </c>
      <c r="J8" s="54">
        <v>8384.137448376674</v>
      </c>
      <c r="K8" s="54">
        <v>1.3330700178217905</v>
      </c>
      <c r="L8" s="54">
        <v>0.92710992734952002</v>
      </c>
      <c r="M8" s="54">
        <v>1.2359024473745837</v>
      </c>
      <c r="N8" s="366"/>
      <c r="P8" s="54"/>
      <c r="R8" s="308"/>
      <c r="S8" s="308"/>
      <c r="T8" s="327"/>
      <c r="V8" s="292"/>
      <c r="W8" s="292"/>
      <c r="X8" s="292"/>
      <c r="AB8" s="54"/>
      <c r="AC8" s="53"/>
      <c r="AD8" s="282"/>
      <c r="AE8" s="54"/>
      <c r="AH8" s="16"/>
    </row>
    <row r="9" spans="1:34">
      <c r="A9" s="347" t="e" vm="6">
        <v>#VALUE!</v>
      </c>
      <c r="B9" s="282">
        <v>2397.6249377349395</v>
      </c>
      <c r="C9" s="282">
        <v>535.79560301458696</v>
      </c>
      <c r="D9" s="282">
        <v>1632.0393623284449</v>
      </c>
      <c r="E9" s="282">
        <v>3508.1075587275845</v>
      </c>
      <c r="F9" s="53">
        <v>466.20199383783665</v>
      </c>
      <c r="G9" s="53">
        <v>1602.353341992995</v>
      </c>
      <c r="H9" s="282">
        <v>7818.850123270513</v>
      </c>
      <c r="I9" s="54">
        <v>4565.4599030779718</v>
      </c>
      <c r="J9" s="54">
        <v>13395.513017828929</v>
      </c>
      <c r="K9" s="54">
        <v>2.9340993683457506</v>
      </c>
      <c r="L9" s="54">
        <v>1.17609306950055</v>
      </c>
      <c r="M9" s="54">
        <v>3.4507739323373787</v>
      </c>
      <c r="N9" s="366"/>
      <c r="R9" s="308"/>
      <c r="S9" s="308"/>
      <c r="T9" s="327"/>
      <c r="V9" s="292"/>
      <c r="W9" s="292"/>
      <c r="X9" s="292"/>
      <c r="AB9" s="54"/>
      <c r="AC9" s="53"/>
      <c r="AD9" s="282"/>
      <c r="AE9" s="54"/>
      <c r="AH9" s="16"/>
    </row>
    <row r="10" spans="1:34">
      <c r="A10" s="347" t="e" vm="7">
        <v>#VALUE!</v>
      </c>
      <c r="B10" s="282">
        <v>5622.555864970067</v>
      </c>
      <c r="C10" s="282">
        <v>535.79560301458696</v>
      </c>
      <c r="D10" s="282">
        <v>2335.6046513576116</v>
      </c>
      <c r="E10" s="282">
        <v>2488.2309711251328</v>
      </c>
      <c r="F10" s="53">
        <v>887.45618655059582</v>
      </c>
      <c r="G10" s="53">
        <v>1842.1312254385189</v>
      </c>
      <c r="H10" s="282">
        <v>3408.782835647442</v>
      </c>
      <c r="I10" s="54">
        <v>8493.9561193422651</v>
      </c>
      <c r="J10" s="54">
        <v>8626.6012187616889</v>
      </c>
      <c r="K10" s="54">
        <v>1.0156164097807578</v>
      </c>
      <c r="L10" s="54">
        <v>0.94027864284318174</v>
      </c>
      <c r="M10" s="54">
        <v>0.9549624194379156</v>
      </c>
      <c r="N10" s="366"/>
      <c r="P10" s="53"/>
      <c r="R10" s="308"/>
      <c r="S10" s="308"/>
      <c r="T10" s="327"/>
      <c r="V10" s="292"/>
      <c r="W10" s="292"/>
      <c r="X10" s="292"/>
      <c r="AB10" s="54"/>
      <c r="AC10" s="53"/>
      <c r="AD10" s="282"/>
      <c r="AE10" s="54"/>
      <c r="AH10" s="16"/>
    </row>
    <row r="11" spans="1:34">
      <c r="A11" s="347" t="e" vm="8">
        <v>#VALUE!</v>
      </c>
      <c r="B11" s="282">
        <v>3133.9411780363453</v>
      </c>
      <c r="C11" s="282">
        <v>535.79560301458696</v>
      </c>
      <c r="D11" s="282">
        <v>2188.5803858393433</v>
      </c>
      <c r="E11" s="282">
        <v>2894.0874044214256</v>
      </c>
      <c r="F11" s="53">
        <v>675.48662261092102</v>
      </c>
      <c r="G11" s="53">
        <v>2106.4524718737412</v>
      </c>
      <c r="H11" s="282">
        <v>3666.95091459586</v>
      </c>
      <c r="I11" s="54">
        <v>5858.317166890276</v>
      </c>
      <c r="J11" s="54">
        <v>9342.977413501947</v>
      </c>
      <c r="K11" s="54">
        <v>1.5948227361785885</v>
      </c>
      <c r="L11" s="54">
        <v>0.96842075896250857</v>
      </c>
      <c r="M11" s="54">
        <v>1.5444594445807331</v>
      </c>
      <c r="N11" s="366"/>
      <c r="R11" s="308"/>
      <c r="S11" s="308"/>
      <c r="T11" s="327"/>
      <c r="V11" s="292"/>
      <c r="W11" s="292"/>
      <c r="X11" s="292"/>
      <c r="AB11" s="54"/>
      <c r="AC11" s="53"/>
      <c r="AD11" s="282"/>
      <c r="AE11" s="54"/>
      <c r="AH11" s="16"/>
    </row>
    <row r="12" spans="1:34">
      <c r="A12" s="347" t="e" vm="9">
        <v>#VALUE!</v>
      </c>
      <c r="B12" s="282">
        <v>3454.6396054555776</v>
      </c>
      <c r="C12" s="282">
        <v>535.79560301458696</v>
      </c>
      <c r="D12" s="282">
        <v>2397.8154448841015</v>
      </c>
      <c r="E12" s="282">
        <v>6072.668086064813</v>
      </c>
      <c r="F12" s="53">
        <v>764.63166524121289</v>
      </c>
      <c r="G12" s="53">
        <v>2271.8557423159345</v>
      </c>
      <c r="H12" s="282">
        <v>2677.9032698585384</v>
      </c>
      <c r="I12" s="54">
        <v>6388.2506533542655</v>
      </c>
      <c r="J12" s="54">
        <v>11787.058763480498</v>
      </c>
      <c r="K12" s="54">
        <v>1.8451152597294365</v>
      </c>
      <c r="L12" s="54">
        <v>0.90903231114486027</v>
      </c>
      <c r="M12" s="54">
        <v>1.6772693888804988</v>
      </c>
      <c r="N12" s="366"/>
      <c r="R12" s="308"/>
      <c r="S12" s="308"/>
      <c r="T12" s="327"/>
      <c r="V12" s="292"/>
      <c r="W12" s="292"/>
      <c r="X12" s="292"/>
      <c r="AB12" s="54"/>
      <c r="AC12" s="53"/>
      <c r="AD12" s="282"/>
      <c r="AE12" s="54"/>
      <c r="AH12" s="16"/>
    </row>
    <row r="13" spans="1:34">
      <c r="A13" s="347" t="e" vm="10">
        <v>#VALUE!</v>
      </c>
      <c r="B13" s="282">
        <v>3389.1862177148732</v>
      </c>
      <c r="C13" s="282">
        <v>535.79560301458696</v>
      </c>
      <c r="D13" s="282">
        <v>2374.7582261113903</v>
      </c>
      <c r="E13" s="282">
        <v>3626.6995272403651</v>
      </c>
      <c r="F13" s="53">
        <v>710.07475269977692</v>
      </c>
      <c r="G13" s="53">
        <v>2038.4261403082207</v>
      </c>
      <c r="H13" s="282">
        <v>5016.851569026765</v>
      </c>
      <c r="I13" s="54">
        <v>6299.7400468408505</v>
      </c>
      <c r="J13" s="54">
        <v>11392.051989275129</v>
      </c>
      <c r="K13" s="54">
        <v>1.8083368368489958</v>
      </c>
      <c r="L13" s="54">
        <v>1.0185530612500007</v>
      </c>
      <c r="M13" s="54">
        <v>1.8418870209436879</v>
      </c>
      <c r="N13" s="366"/>
      <c r="R13" s="308"/>
      <c r="S13" s="308"/>
      <c r="T13" s="327"/>
      <c r="V13" s="292"/>
      <c r="W13" s="292"/>
      <c r="X13" s="292"/>
      <c r="AB13" s="54"/>
      <c r="AC13" s="53"/>
      <c r="AD13" s="282"/>
      <c r="AE13" s="54"/>
      <c r="AH13" s="16"/>
    </row>
    <row r="14" spans="1:34">
      <c r="A14" s="347" t="e" vm="11">
        <v>#VALUE!</v>
      </c>
      <c r="B14" s="282">
        <v>2837.402392789013</v>
      </c>
      <c r="C14" s="282">
        <v>535.79560301458696</v>
      </c>
      <c r="D14" s="282">
        <v>1825.1107437201449</v>
      </c>
      <c r="E14" s="282">
        <v>3004.3733730273202</v>
      </c>
      <c r="F14" s="53">
        <v>560.56166162094178</v>
      </c>
      <c r="G14" s="53">
        <v>1352.0247028253732</v>
      </c>
      <c r="H14" s="282">
        <v>7687.8793032209878</v>
      </c>
      <c r="I14" s="54">
        <v>5198.3087395237453</v>
      </c>
      <c r="J14" s="54">
        <v>12604.839040694624</v>
      </c>
      <c r="K14" s="54">
        <v>2.4247961543448926</v>
      </c>
      <c r="L14" s="54">
        <v>1.039747706927947</v>
      </c>
      <c r="M14" s="54">
        <v>2.5211762412478063</v>
      </c>
      <c r="N14" s="366"/>
      <c r="R14" s="308"/>
      <c r="S14" s="308"/>
      <c r="T14" s="327"/>
      <c r="V14" s="292"/>
      <c r="W14" s="292"/>
      <c r="X14" s="292"/>
      <c r="AB14" s="54"/>
      <c r="AC14" s="53"/>
      <c r="AD14" s="282"/>
      <c r="AE14" s="54"/>
      <c r="AH14" s="16"/>
    </row>
    <row r="15" spans="1:34">
      <c r="A15" s="347" t="e" vm="12">
        <v>#VALUE!</v>
      </c>
      <c r="B15" s="282">
        <v>3885.8991582836993</v>
      </c>
      <c r="C15" s="282">
        <v>535.79560301458696</v>
      </c>
      <c r="D15" s="282">
        <v>1776.2043427104782</v>
      </c>
      <c r="E15" s="282">
        <v>2860.5271559525104</v>
      </c>
      <c r="F15" s="53">
        <v>636.62314126865397</v>
      </c>
      <c r="G15" s="53">
        <v>1277.0643049730586</v>
      </c>
      <c r="H15" s="282">
        <v>3350.6953696109258</v>
      </c>
      <c r="I15" s="54">
        <v>6197.899104008764</v>
      </c>
      <c r="J15" s="54">
        <v>8124.9099718051484</v>
      </c>
      <c r="K15" s="54">
        <v>1.3109135588460943</v>
      </c>
      <c r="L15" s="54">
        <v>0.98360244305463729</v>
      </c>
      <c r="M15" s="54">
        <v>1.2894177791144674</v>
      </c>
      <c r="N15" s="366"/>
      <c r="R15" s="308"/>
      <c r="S15" s="308"/>
      <c r="T15" s="327"/>
      <c r="V15" s="292"/>
      <c r="W15" s="292"/>
      <c r="X15" s="292"/>
      <c r="AB15" s="54"/>
      <c r="AC15" s="53"/>
      <c r="AD15" s="282"/>
      <c r="AE15" s="54"/>
      <c r="AH15" s="16"/>
    </row>
    <row r="16" spans="1:34">
      <c r="A16" s="347" t="e" vm="13">
        <v>#VALUE!</v>
      </c>
      <c r="B16" s="282">
        <v>5427.0358731104707</v>
      </c>
      <c r="C16" s="282">
        <v>535.79560301458696</v>
      </c>
      <c r="D16" s="282">
        <v>2209.2050034537697</v>
      </c>
      <c r="E16" s="282">
        <v>2995.7696309232474</v>
      </c>
      <c r="F16" s="53">
        <v>900.78697809153255</v>
      </c>
      <c r="G16" s="53">
        <v>1202.3098673322488</v>
      </c>
      <c r="H16" s="282">
        <v>2109.4344098962097</v>
      </c>
      <c r="I16" s="54">
        <v>8172.0364795788273</v>
      </c>
      <c r="J16" s="54">
        <v>7208.300886243238</v>
      </c>
      <c r="K16" s="54">
        <v>0.88206910287981743</v>
      </c>
      <c r="L16" s="54">
        <v>0.86720981049155299</v>
      </c>
      <c r="M16" s="54">
        <v>0.7649389795488607</v>
      </c>
      <c r="N16" s="366"/>
      <c r="R16" s="308"/>
      <c r="S16" s="308"/>
      <c r="T16" s="327"/>
      <c r="V16" s="292"/>
      <c r="W16" s="292"/>
      <c r="X16" s="292"/>
      <c r="AB16" s="54"/>
      <c r="AC16" s="53"/>
      <c r="AD16" s="282"/>
      <c r="AE16" s="54"/>
      <c r="AH16" s="16"/>
    </row>
    <row r="17" spans="1:34">
      <c r="A17" s="347" t="e" vm="14">
        <v>#VALUE!</v>
      </c>
      <c r="B17" s="282">
        <v>7961.2997098110955</v>
      </c>
      <c r="C17" s="282">
        <v>535.79560301458696</v>
      </c>
      <c r="D17" s="282">
        <v>2724.0528642408317</v>
      </c>
      <c r="E17" s="282">
        <v>3624.5812248674652</v>
      </c>
      <c r="F17" s="53">
        <v>1189.6515104810921</v>
      </c>
      <c r="G17" s="53">
        <v>1481.8879641507174</v>
      </c>
      <c r="H17" s="282">
        <v>2058.6402026712603</v>
      </c>
      <c r="I17" s="54">
        <v>11221.148177066514</v>
      </c>
      <c r="J17" s="54">
        <v>8354.7609021705357</v>
      </c>
      <c r="K17" s="54">
        <v>0.74455490385964018</v>
      </c>
      <c r="L17" s="54">
        <v>0.88310316538396227</v>
      </c>
      <c r="M17" s="54">
        <v>0.65751879240060007</v>
      </c>
      <c r="N17" s="366"/>
      <c r="R17" s="308"/>
      <c r="S17" s="308"/>
      <c r="T17" s="327"/>
      <c r="V17" s="292"/>
      <c r="W17" s="292"/>
      <c r="X17" s="292"/>
      <c r="AB17" s="54"/>
      <c r="AC17" s="53"/>
      <c r="AD17" s="282"/>
      <c r="AE17" s="54"/>
      <c r="AH17" s="16"/>
    </row>
    <row r="18" spans="1:34">
      <c r="A18" s="347" t="e" vm="15">
        <v>#VALUE!</v>
      </c>
      <c r="B18" s="282">
        <v>2443.3249441351109</v>
      </c>
      <c r="C18" s="282">
        <v>535.79560301458696</v>
      </c>
      <c r="D18" s="282">
        <v>1701.09921966355</v>
      </c>
      <c r="E18" s="282">
        <v>3665.9934988164364</v>
      </c>
      <c r="F18" s="53">
        <v>476.23642313910744</v>
      </c>
      <c r="G18" s="53">
        <v>1649.7972222023725</v>
      </c>
      <c r="H18" s="282">
        <v>7937.441154575894</v>
      </c>
      <c r="I18" s="54">
        <v>4680.2197668132476</v>
      </c>
      <c r="J18" s="54">
        <v>13729.468298733809</v>
      </c>
      <c r="K18" s="54">
        <v>2.9335093185340262</v>
      </c>
      <c r="L18" s="54">
        <v>1.2064776821137846</v>
      </c>
      <c r="M18" s="54">
        <v>3.5392135230841202</v>
      </c>
      <c r="R18" s="308"/>
      <c r="S18" s="308"/>
      <c r="T18" s="327"/>
      <c r="V18" s="292"/>
      <c r="W18" s="292"/>
      <c r="X18" s="292"/>
      <c r="AB18" s="54"/>
      <c r="AC18" s="53"/>
      <c r="AD18" s="282"/>
      <c r="AE18" s="54"/>
      <c r="AH18" s="16"/>
    </row>
    <row r="19" spans="1:34">
      <c r="A19" s="107" t="s">
        <v>585</v>
      </c>
      <c r="B19" s="325"/>
      <c r="C19" s="325"/>
      <c r="D19" s="325"/>
      <c r="E19" s="325"/>
      <c r="F19" s="269"/>
      <c r="G19" s="269"/>
      <c r="H19" s="269"/>
      <c r="I19" s="326"/>
      <c r="J19" s="326"/>
      <c r="K19" s="326"/>
      <c r="L19" s="326"/>
      <c r="M19" s="326"/>
      <c r="N19" s="366"/>
      <c r="R19" s="308"/>
      <c r="S19" s="308"/>
      <c r="T19" s="327"/>
      <c r="V19" s="292"/>
      <c r="W19" s="292"/>
      <c r="X19" s="292"/>
      <c r="AB19" s="54"/>
      <c r="AC19" s="53"/>
      <c r="AD19" s="282"/>
      <c r="AE19" s="54"/>
      <c r="AH19" s="16"/>
    </row>
    <row r="20" spans="1:34" ht="17">
      <c r="A20" s="66" t="e" vm="16">
        <v>#VALUE!</v>
      </c>
      <c r="B20" s="282">
        <v>2988.8943425627385</v>
      </c>
      <c r="C20" s="282">
        <v>535.79560301458696</v>
      </c>
      <c r="D20" s="282">
        <v>2179.4427097478001</v>
      </c>
      <c r="E20" s="282">
        <v>2909.1846754144062</v>
      </c>
      <c r="F20" s="53">
        <v>647.09501650522634</v>
      </c>
      <c r="G20" s="53">
        <v>2062.5011250004427</v>
      </c>
      <c r="H20" s="282">
        <v>3812.2942707123148</v>
      </c>
      <c r="I20" s="54">
        <v>5704.1326553251256</v>
      </c>
      <c r="J20" s="54">
        <v>9431.0750876323909</v>
      </c>
      <c r="K20" s="54">
        <v>1.6533758342432581</v>
      </c>
      <c r="L20" s="54">
        <v>1.0186624991479851</v>
      </c>
      <c r="M20" s="54">
        <v>1.6842319593411221</v>
      </c>
      <c r="N20" s="366"/>
      <c r="R20" s="308"/>
      <c r="S20" s="308"/>
      <c r="T20" s="327"/>
      <c r="V20" s="292"/>
      <c r="W20" s="292"/>
      <c r="X20" s="292"/>
      <c r="AB20" s="54"/>
      <c r="AC20" s="53"/>
      <c r="AD20" s="282"/>
      <c r="AE20" s="54"/>
      <c r="AH20" s="16"/>
    </row>
    <row r="21" spans="1:34" ht="17">
      <c r="A21" s="66" t="e" vm="17">
        <v>#VALUE!</v>
      </c>
      <c r="B21" s="282">
        <v>3264.912506714978</v>
      </c>
      <c r="C21" s="282">
        <v>535.79560301458696</v>
      </c>
      <c r="D21" s="282">
        <v>2228.0171633061182</v>
      </c>
      <c r="E21" s="282">
        <v>2923.8028105185326</v>
      </c>
      <c r="F21" s="53">
        <v>700.87255344446498</v>
      </c>
      <c r="G21" s="53">
        <v>2616.8635372896692</v>
      </c>
      <c r="H21" s="282">
        <v>3420.0401752222019</v>
      </c>
      <c r="I21" s="54">
        <v>6028.7252730356831</v>
      </c>
      <c r="J21" s="54">
        <v>9661.579076474869</v>
      </c>
      <c r="K21" s="54">
        <v>1.6025907034921019</v>
      </c>
      <c r="L21" s="54">
        <v>0.94579406340673977</v>
      </c>
      <c r="M21" s="54">
        <v>1.5157207734336606</v>
      </c>
      <c r="N21" s="366"/>
      <c r="P21" s="54"/>
      <c r="R21" s="308"/>
      <c r="S21" s="308"/>
      <c r="T21" s="327"/>
      <c r="V21" s="292"/>
      <c r="W21" s="292"/>
      <c r="X21" s="292"/>
      <c r="AB21" s="54"/>
      <c r="AC21" s="53"/>
      <c r="AD21" s="282"/>
      <c r="AE21" s="54"/>
      <c r="AH21" s="16"/>
    </row>
    <row r="22" spans="1:34">
      <c r="A22" s="87" t="e" vm="18">
        <v>#VALUE!</v>
      </c>
      <c r="B22" s="282">
        <v>2414.1396862792271</v>
      </c>
      <c r="C22" s="282">
        <v>535.79560301458696</v>
      </c>
      <c r="D22" s="282">
        <v>1871.9958823310963</v>
      </c>
      <c r="E22" s="282">
        <v>2878.1195837757018</v>
      </c>
      <c r="F22" s="53">
        <v>553.56789588768027</v>
      </c>
      <c r="G22" s="53">
        <v>1668.8287010727363</v>
      </c>
      <c r="H22" s="282">
        <v>3439.573943737284</v>
      </c>
      <c r="I22" s="54">
        <v>4821.9311716249103</v>
      </c>
      <c r="J22" s="54">
        <v>8540.0901244734014</v>
      </c>
      <c r="K22" s="54">
        <v>1.7710933276543501</v>
      </c>
      <c r="L22" s="54">
        <v>1.0104575359127523</v>
      </c>
      <c r="M22" s="54">
        <v>1.7896145997331314</v>
      </c>
      <c r="N22" s="366"/>
      <c r="R22" s="308"/>
      <c r="S22" s="308"/>
      <c r="T22" s="327"/>
      <c r="V22" s="292"/>
      <c r="W22" s="292"/>
      <c r="X22" s="292"/>
      <c r="AB22" s="54"/>
      <c r="AC22" s="53"/>
      <c r="AD22" s="282"/>
      <c r="AE22" s="54"/>
      <c r="AH22" s="16"/>
    </row>
    <row r="23" spans="1:34">
      <c r="A23" s="63" t="e" vm="19">
        <v>#VALUE!</v>
      </c>
      <c r="B23" s="282">
        <v>5618.2302631731527</v>
      </c>
      <c r="C23" s="282">
        <v>535.79560301458696</v>
      </c>
      <c r="D23" s="282">
        <v>2606.21093712112</v>
      </c>
      <c r="E23" s="282">
        <v>2974.9826503680733</v>
      </c>
      <c r="F23" s="53">
        <v>913.1113209320298</v>
      </c>
      <c r="G23" s="53">
        <v>2111.2350065652367</v>
      </c>
      <c r="H23" s="282">
        <v>1958.4221089392265</v>
      </c>
      <c r="I23" s="54">
        <v>8760.2368033088605</v>
      </c>
      <c r="J23" s="54">
        <v>7957.7510868045665</v>
      </c>
      <c r="K23" s="54">
        <v>0.90839451780559355</v>
      </c>
      <c r="L23" s="54">
        <v>0.98137380484801373</v>
      </c>
      <c r="M23" s="54">
        <v>0.89147458424195214</v>
      </c>
      <c r="N23" s="366"/>
      <c r="P23" s="54"/>
      <c r="R23" s="308"/>
      <c r="S23" s="308"/>
      <c r="T23" s="327"/>
      <c r="V23" s="292"/>
      <c r="W23" s="292"/>
      <c r="X23" s="292"/>
      <c r="AB23" s="54"/>
      <c r="AC23" s="53"/>
      <c r="AD23" s="282"/>
      <c r="AE23" s="54"/>
      <c r="AH23" s="16"/>
    </row>
    <row r="24" spans="1:34">
      <c r="A24" s="63" t="e" vm="20">
        <v>#VALUE!</v>
      </c>
      <c r="B24" s="282">
        <v>3410.0351849389481</v>
      </c>
      <c r="C24" s="282">
        <v>535.79560301458696</v>
      </c>
      <c r="D24" s="282">
        <v>2218.7742582034516</v>
      </c>
      <c r="E24" s="282">
        <v>2898.2031256178302</v>
      </c>
      <c r="F24" s="53">
        <v>710.20635774599691</v>
      </c>
      <c r="G24" s="53">
        <v>1998.7878070575566</v>
      </c>
      <c r="H24" s="282">
        <v>3163.659915838216</v>
      </c>
      <c r="I24" s="54">
        <v>6164.6050461569866</v>
      </c>
      <c r="J24" s="54">
        <v>8770.8572062595995</v>
      </c>
      <c r="K24" s="54">
        <v>1.4227768268345675</v>
      </c>
      <c r="L24" s="54">
        <v>0.94176618880412277</v>
      </c>
      <c r="M24" s="54">
        <v>1.3399231097268138</v>
      </c>
      <c r="N24" s="366"/>
      <c r="R24" s="308"/>
      <c r="S24" s="308"/>
      <c r="T24" s="327"/>
      <c r="V24" s="292"/>
      <c r="W24" s="292"/>
      <c r="X24" s="292"/>
      <c r="AB24" s="54"/>
      <c r="AC24" s="53"/>
      <c r="AD24" s="282"/>
      <c r="AE24" s="54"/>
      <c r="AH24" s="16"/>
    </row>
    <row r="25" spans="1:34" ht="17">
      <c r="A25" s="66" t="e" vm="21">
        <v>#VALUE!</v>
      </c>
      <c r="B25" s="282">
        <v>3057.7613414357784</v>
      </c>
      <c r="C25" s="282">
        <v>535.79560301458696</v>
      </c>
      <c r="D25" s="282">
        <v>1883.8173223908734</v>
      </c>
      <c r="E25" s="282">
        <v>2894.1463525259865</v>
      </c>
      <c r="F25" s="53">
        <v>642.00488842356765</v>
      </c>
      <c r="G25" s="53">
        <v>1653.0087683418924</v>
      </c>
      <c r="H25" s="282">
        <v>3394.9507707330499</v>
      </c>
      <c r="I25" s="54">
        <v>5477.3742668412388</v>
      </c>
      <c r="J25" s="54">
        <v>8584.1107800244972</v>
      </c>
      <c r="K25" s="54">
        <v>1.5671944917094172</v>
      </c>
      <c r="L25" s="54">
        <v>0.88708577725229154</v>
      </c>
      <c r="M25" s="54">
        <v>1.3902359437835583</v>
      </c>
      <c r="N25" s="366"/>
      <c r="P25" s="53"/>
      <c r="R25" s="308"/>
      <c r="S25" s="308"/>
      <c r="T25" s="327"/>
      <c r="V25" s="292"/>
      <c r="W25" s="292"/>
      <c r="X25" s="292"/>
      <c r="AB25" s="54"/>
      <c r="AC25" s="53"/>
      <c r="AD25" s="282"/>
      <c r="AE25" s="54"/>
      <c r="AH25" s="16"/>
    </row>
    <row r="26" spans="1:34">
      <c r="A26" s="63" t="e" vm="22">
        <v>#VALUE!</v>
      </c>
      <c r="B26" s="282">
        <v>2826.7152217926923</v>
      </c>
      <c r="C26" s="282">
        <v>535.79560301458696</v>
      </c>
      <c r="D26" s="282">
        <v>2207.4301725420814</v>
      </c>
      <c r="E26" s="282">
        <v>2884.2271595581019</v>
      </c>
      <c r="F26" s="53">
        <v>660.03216133984404</v>
      </c>
      <c r="G26" s="53">
        <v>2312.7726246810362</v>
      </c>
      <c r="H26" s="282">
        <v>3266.4497675507891</v>
      </c>
      <c r="I26" s="54">
        <v>5569.9409973493603</v>
      </c>
      <c r="J26" s="54">
        <v>9123.4817131297714</v>
      </c>
      <c r="K26" s="54">
        <v>1.637985342658294</v>
      </c>
      <c r="L26" s="54">
        <v>0.96885015314178413</v>
      </c>
      <c r="M26" s="54">
        <v>1.5869623500784857</v>
      </c>
      <c r="N26" s="366"/>
      <c r="R26" s="308"/>
      <c r="S26" s="308"/>
      <c r="T26" s="327"/>
      <c r="V26" s="292"/>
      <c r="W26" s="292"/>
      <c r="X26" s="292"/>
      <c r="AB26" s="54"/>
      <c r="AC26" s="53"/>
      <c r="AD26" s="282"/>
      <c r="AE26" s="54"/>
      <c r="AH26" s="16"/>
    </row>
    <row r="27" spans="1:34">
      <c r="A27" s="63" t="e" vm="23">
        <v>#VALUE!</v>
      </c>
      <c r="B27" s="282">
        <v>2854.9667410438769</v>
      </c>
      <c r="C27" s="282">
        <v>535.79560301458696</v>
      </c>
      <c r="D27" s="282">
        <v>2333.7755160538818</v>
      </c>
      <c r="E27" s="282">
        <v>2911.8294677901354</v>
      </c>
      <c r="F27" s="53">
        <v>672.48499157437129</v>
      </c>
      <c r="G27" s="53">
        <v>2321.1545698028958</v>
      </c>
      <c r="H27" s="282">
        <v>2876.8894264923447</v>
      </c>
      <c r="I27" s="54">
        <v>5724.5378601123457</v>
      </c>
      <c r="J27" s="54">
        <v>8782.3584556597471</v>
      </c>
      <c r="K27" s="54">
        <v>1.534160253678083</v>
      </c>
      <c r="L27" s="54">
        <v>1.0130866618204044</v>
      </c>
      <c r="M27" s="54">
        <v>1.554237290096274</v>
      </c>
      <c r="N27" s="366"/>
      <c r="R27" s="308"/>
      <c r="S27" s="308"/>
      <c r="T27" s="327"/>
      <c r="V27" s="292"/>
      <c r="W27" s="292"/>
      <c r="X27" s="292"/>
      <c r="AB27" s="54"/>
      <c r="AC27" s="53"/>
      <c r="AD27" s="282"/>
      <c r="AE27" s="54"/>
      <c r="AH27" s="16"/>
    </row>
    <row r="28" spans="1:34">
      <c r="A28" s="63" t="e" vm="24">
        <v>#VALUE!</v>
      </c>
      <c r="B28" s="282">
        <v>2455.7934399686737</v>
      </c>
      <c r="C28" s="282">
        <v>535.79560301458696</v>
      </c>
      <c r="D28" s="282">
        <v>1956.5854155496017</v>
      </c>
      <c r="E28" s="282">
        <v>2865.8826230751997</v>
      </c>
      <c r="F28" s="53">
        <v>530.90275883166782</v>
      </c>
      <c r="G28" s="53">
        <v>1478.3451247322907</v>
      </c>
      <c r="H28" s="282">
        <v>6346.650321743251</v>
      </c>
      <c r="I28" s="54">
        <v>4948.1744585328624</v>
      </c>
      <c r="J28" s="54">
        <v>11221.780828382409</v>
      </c>
      <c r="K28" s="54">
        <v>2.2678628092894031</v>
      </c>
      <c r="L28" s="54">
        <v>1.1872774545733304</v>
      </c>
      <c r="M28" s="54">
        <v>2.6925823835346447</v>
      </c>
      <c r="N28" s="366"/>
      <c r="R28" s="308"/>
      <c r="S28" s="308"/>
      <c r="T28" s="327"/>
      <c r="V28" s="292"/>
      <c r="W28" s="292"/>
      <c r="X28" s="292"/>
      <c r="AB28" s="54"/>
      <c r="AC28" s="53"/>
      <c r="AD28" s="282"/>
      <c r="AE28" s="54"/>
      <c r="AH28" s="16"/>
    </row>
    <row r="29" spans="1:34">
      <c r="A29" s="63" t="e" vm="25">
        <v>#VALUE!</v>
      </c>
      <c r="B29" s="282">
        <v>4370.4952266953187</v>
      </c>
      <c r="C29" s="282">
        <v>535.79560301458696</v>
      </c>
      <c r="D29" s="282">
        <v>2354.5732286729099</v>
      </c>
      <c r="E29" s="282">
        <v>2878.8180732576971</v>
      </c>
      <c r="F29" s="53">
        <v>807.94246663528065</v>
      </c>
      <c r="G29" s="53">
        <v>2183.8932140503821</v>
      </c>
      <c r="H29" s="282">
        <v>2417.0115449974601</v>
      </c>
      <c r="I29" s="54">
        <v>7260.8640583828155</v>
      </c>
      <c r="J29" s="54">
        <v>8287.6652989408194</v>
      </c>
      <c r="K29" s="54">
        <v>1.1414158469710696</v>
      </c>
      <c r="L29" s="54">
        <v>0.93053058687406298</v>
      </c>
      <c r="M29" s="54">
        <v>1.0621223579493451</v>
      </c>
      <c r="N29" s="366"/>
      <c r="R29" s="308"/>
      <c r="S29" s="308"/>
      <c r="T29" s="327"/>
      <c r="V29" s="292"/>
      <c r="W29" s="292"/>
      <c r="X29" s="292"/>
      <c r="AB29" s="54"/>
      <c r="AC29" s="53"/>
      <c r="AD29" s="282"/>
      <c r="AE29" s="54"/>
      <c r="AH29" s="16"/>
    </row>
    <row r="30" spans="1:34">
      <c r="A30" s="63" t="e" vm="26">
        <v>#VALUE!</v>
      </c>
      <c r="B30" s="282">
        <v>2640.3765989679687</v>
      </c>
      <c r="C30" s="282">
        <v>535.79560301458696</v>
      </c>
      <c r="D30" s="282">
        <v>2326.3389655820183</v>
      </c>
      <c r="E30" s="282">
        <v>2879.4265570567904</v>
      </c>
      <c r="F30" s="53">
        <v>653.08948094877712</v>
      </c>
      <c r="G30" s="53">
        <v>1797.9254980499502</v>
      </c>
      <c r="H30" s="282">
        <v>6622.1451807747144</v>
      </c>
      <c r="I30" s="54">
        <v>5502.511167564574</v>
      </c>
      <c r="J30" s="54">
        <v>11952.586716830232</v>
      </c>
      <c r="K30" s="54">
        <v>2.1722058080111957</v>
      </c>
      <c r="L30" s="54">
        <v>1.0311265646260388</v>
      </c>
      <c r="M30" s="54">
        <v>2.2398191124753128</v>
      </c>
      <c r="N30" s="366"/>
      <c r="R30" s="308"/>
      <c r="S30" s="308"/>
      <c r="T30" s="327"/>
      <c r="V30" s="292"/>
      <c r="W30" s="292"/>
      <c r="X30" s="292"/>
      <c r="AB30" s="54"/>
      <c r="AC30" s="53"/>
      <c r="AD30" s="282"/>
      <c r="AE30" s="54"/>
      <c r="AH30" s="16"/>
    </row>
    <row r="31" spans="1:34">
      <c r="A31" s="63" t="e" vm="27">
        <v>#VALUE!</v>
      </c>
      <c r="B31" s="282">
        <v>4366.6461388965909</v>
      </c>
      <c r="C31" s="282">
        <v>535.79560301458696</v>
      </c>
      <c r="D31" s="282">
        <v>2571.9129226766736</v>
      </c>
      <c r="E31" s="282">
        <v>2916.5763120639626</v>
      </c>
      <c r="F31" s="53">
        <v>855.54596956886348</v>
      </c>
      <c r="G31" s="53">
        <v>2839.2898017310113</v>
      </c>
      <c r="H31" s="282">
        <v>2624.630340946147</v>
      </c>
      <c r="I31" s="54">
        <v>7474.3546645878514</v>
      </c>
      <c r="J31" s="54">
        <v>9236.0424243099842</v>
      </c>
      <c r="K31" s="54">
        <v>1.2356976406362803</v>
      </c>
      <c r="L31" s="54">
        <v>0.92253481074551535</v>
      </c>
      <c r="M31" s="54">
        <v>1.1399740890430707</v>
      </c>
      <c r="N31" s="366"/>
      <c r="R31" s="308"/>
      <c r="S31" s="308"/>
      <c r="T31" s="327"/>
      <c r="V31" s="292"/>
      <c r="W31" s="292"/>
      <c r="X31" s="292"/>
      <c r="AB31" s="54"/>
      <c r="AC31" s="53"/>
      <c r="AD31" s="282"/>
      <c r="AE31" s="54"/>
      <c r="AH31" s="16"/>
    </row>
    <row r="32" spans="1:34">
      <c r="A32" s="63" t="e" vm="28">
        <v>#VALUE!</v>
      </c>
      <c r="B32" s="282">
        <v>2621.1515629357432</v>
      </c>
      <c r="C32" s="282">
        <v>535.79560301458696</v>
      </c>
      <c r="D32" s="282">
        <v>2277.8844578823664</v>
      </c>
      <c r="E32" s="282">
        <v>2889.4200301868173</v>
      </c>
      <c r="F32" s="53">
        <v>639.68941728914342</v>
      </c>
      <c r="G32" s="53">
        <v>2304.0503195622023</v>
      </c>
      <c r="H32" s="282">
        <v>4381.9716063431924</v>
      </c>
      <c r="I32" s="54">
        <v>5434.831623832697</v>
      </c>
      <c r="J32" s="54">
        <v>10215.131373381355</v>
      </c>
      <c r="K32" s="54">
        <v>1.879567221289101</v>
      </c>
      <c r="L32" s="54">
        <v>1.0394103628284515</v>
      </c>
      <c r="M32" s="54">
        <v>1.9536416474405687</v>
      </c>
      <c r="N32" s="366"/>
      <c r="R32" s="308"/>
      <c r="S32" s="308"/>
      <c r="T32" s="327"/>
      <c r="V32" s="292"/>
      <c r="W32" s="292"/>
      <c r="X32" s="292"/>
      <c r="AB32" s="54"/>
      <c r="AC32" s="53"/>
      <c r="AD32" s="282"/>
      <c r="AE32" s="54"/>
      <c r="AH32" s="16"/>
    </row>
    <row r="33" spans="1:34">
      <c r="A33" s="63" t="e" vm="29">
        <v>#VALUE!</v>
      </c>
      <c r="B33" s="282">
        <v>3124.6960062421836</v>
      </c>
      <c r="C33" s="282">
        <v>535.79560301458696</v>
      </c>
      <c r="D33" s="282">
        <v>1982.8745609078119</v>
      </c>
      <c r="E33" s="282">
        <v>2853.5260831670807</v>
      </c>
      <c r="F33" s="53">
        <v>618.81743399332606</v>
      </c>
      <c r="G33" s="53">
        <v>1781.8281290968534</v>
      </c>
      <c r="H33" s="282">
        <v>3488.322844102252</v>
      </c>
      <c r="I33" s="54">
        <v>5643.3661701645824</v>
      </c>
      <c r="J33" s="54">
        <v>8742.4944903595133</v>
      </c>
      <c r="K33" s="54">
        <v>1.5491630751482051</v>
      </c>
      <c r="L33" s="54">
        <v>1.0091057259775904</v>
      </c>
      <c r="M33" s="54">
        <v>1.5632693296051061</v>
      </c>
      <c r="N33" s="366"/>
      <c r="R33" s="308"/>
      <c r="S33" s="308"/>
      <c r="T33" s="327"/>
      <c r="V33" s="292"/>
      <c r="W33" s="292"/>
      <c r="X33" s="292"/>
      <c r="AB33" s="54"/>
      <c r="AC33" s="53"/>
      <c r="AD33" s="282"/>
      <c r="AE33" s="54"/>
      <c r="AH33" s="16"/>
    </row>
    <row r="34" spans="1:34">
      <c r="A34" s="63" t="e" vm="30">
        <v>#VALUE!</v>
      </c>
      <c r="B34" s="282">
        <v>2785.4287563870321</v>
      </c>
      <c r="C34" s="282">
        <v>535.79560301458696</v>
      </c>
      <c r="D34" s="282">
        <v>2189.6859478368347</v>
      </c>
      <c r="E34" s="282">
        <v>2933.1694558574391</v>
      </c>
      <c r="F34" s="53">
        <v>643.27398496301009</v>
      </c>
      <c r="G34" s="53">
        <v>2526.3175062496075</v>
      </c>
      <c r="H34" s="282">
        <v>3241.9117064622669</v>
      </c>
      <c r="I34" s="54">
        <v>5510.9103072384532</v>
      </c>
      <c r="J34" s="54">
        <v>9344.6726535323251</v>
      </c>
      <c r="K34" s="54">
        <v>1.6956677087011041</v>
      </c>
      <c r="L34" s="54">
        <v>1.0000764537024376</v>
      </c>
      <c r="M34" s="54">
        <v>1.6957973487755382</v>
      </c>
      <c r="N34" s="366"/>
      <c r="R34" s="308"/>
      <c r="S34" s="308"/>
      <c r="T34" s="327"/>
      <c r="V34" s="292"/>
      <c r="W34" s="292"/>
      <c r="X34" s="292"/>
      <c r="AB34" s="54"/>
      <c r="AC34" s="53"/>
      <c r="AD34" s="282"/>
      <c r="AE34" s="54"/>
      <c r="AH34" s="16"/>
    </row>
    <row r="35" spans="1:34">
      <c r="A35" s="63" t="e" vm="31">
        <v>#VALUE!</v>
      </c>
      <c r="B35" s="282">
        <v>3029.6739899937911</v>
      </c>
      <c r="C35" s="282">
        <v>535.79560301458696</v>
      </c>
      <c r="D35" s="282">
        <v>2091.1337669228301</v>
      </c>
      <c r="E35" s="282">
        <v>2845.1619277865916</v>
      </c>
      <c r="F35" s="53">
        <v>680.25290174925692</v>
      </c>
      <c r="G35" s="53">
        <v>1882.1604205503656</v>
      </c>
      <c r="H35" s="282">
        <v>3587.9599009829481</v>
      </c>
      <c r="I35" s="54">
        <v>5656.6033599312086</v>
      </c>
      <c r="J35" s="54">
        <v>8995.5351510691617</v>
      </c>
      <c r="K35" s="54">
        <v>1.5902715072422116</v>
      </c>
      <c r="L35" s="54">
        <v>0.89165633353138074</v>
      </c>
      <c r="M35" s="54">
        <v>1.4179756614670129</v>
      </c>
      <c r="N35" s="366"/>
      <c r="R35" s="308"/>
      <c r="S35" s="308"/>
      <c r="T35" s="327"/>
      <c r="V35" s="292"/>
      <c r="W35" s="292"/>
      <c r="X35" s="292"/>
      <c r="AB35" s="54"/>
      <c r="AC35" s="53"/>
      <c r="AD35" s="282"/>
      <c r="AE35" s="54"/>
      <c r="AH35" s="16"/>
    </row>
    <row r="36" spans="1:34">
      <c r="A36" s="63" t="e" vm="32">
        <v>#VALUE!</v>
      </c>
      <c r="B36" s="282">
        <v>3513.6963782050871</v>
      </c>
      <c r="C36" s="282">
        <v>535.79560301458696</v>
      </c>
      <c r="D36" s="282">
        <v>2169.472791240767</v>
      </c>
      <c r="E36" s="282">
        <v>2885.4165411786125</v>
      </c>
      <c r="F36" s="53">
        <v>713.96768193625189</v>
      </c>
      <c r="G36" s="53">
        <v>2032.0336902434938</v>
      </c>
      <c r="H36" s="282">
        <v>3523.5453581732727</v>
      </c>
      <c r="I36" s="54">
        <v>6218.9647724604411</v>
      </c>
      <c r="J36" s="54">
        <v>9154.9632715316311</v>
      </c>
      <c r="K36" s="54">
        <v>1.4721040569441279</v>
      </c>
      <c r="L36" s="54">
        <v>0.92648186237427532</v>
      </c>
      <c r="M36" s="54">
        <v>1.363877708286322</v>
      </c>
      <c r="N36" s="366"/>
    </row>
    <row r="37" spans="1:34" ht="15" customHeight="1">
      <c r="A37" s="63" t="e" vm="33">
        <v>#VALUE!</v>
      </c>
      <c r="B37" s="282">
        <v>2796.6960137822234</v>
      </c>
      <c r="C37" s="282">
        <v>535.79560301458696</v>
      </c>
      <c r="D37" s="282">
        <v>2103.1480150087164</v>
      </c>
      <c r="E37" s="282">
        <v>2960.259663563535</v>
      </c>
      <c r="F37" s="53">
        <v>630.52479118121016</v>
      </c>
      <c r="G37" s="53">
        <v>1745.1822272542165</v>
      </c>
      <c r="H37" s="282">
        <v>7639.4022809435692</v>
      </c>
      <c r="I37" s="54">
        <v>5435.6396318055267</v>
      </c>
      <c r="J37" s="54">
        <v>12975.368962942532</v>
      </c>
      <c r="K37" s="54">
        <v>2.3870914633523221</v>
      </c>
      <c r="L37" s="54">
        <v>0.98733262507306563</v>
      </c>
      <c r="M37" s="54">
        <v>2.356853280801154</v>
      </c>
      <c r="N37" s="366"/>
      <c r="O37" s="21"/>
      <c r="P37" s="21"/>
      <c r="Q37" s="21"/>
      <c r="R37" s="308"/>
      <c r="S37" s="308"/>
      <c r="T37" s="327"/>
    </row>
    <row r="38" spans="1:34">
      <c r="A38" s="63" t="e" vm="34">
        <v>#VALUE!</v>
      </c>
      <c r="B38" s="282">
        <v>2669.4560354826403</v>
      </c>
      <c r="C38" s="282">
        <v>535.79560301458696</v>
      </c>
      <c r="D38" s="282">
        <v>2165.9570098025529</v>
      </c>
      <c r="E38" s="282">
        <v>2857.9024970573587</v>
      </c>
      <c r="F38" s="53">
        <v>649.20888536278062</v>
      </c>
      <c r="G38" s="53">
        <v>2047.6342706137129</v>
      </c>
      <c r="H38" s="282">
        <v>3341.3427844629109</v>
      </c>
      <c r="I38" s="54">
        <v>5371.2086482997802</v>
      </c>
      <c r="J38" s="54">
        <v>8896.0884374967627</v>
      </c>
      <c r="K38" s="54">
        <v>1.6562544894458269</v>
      </c>
      <c r="L38" s="54">
        <v>0.94774529477424652</v>
      </c>
      <c r="M38" s="54">
        <v>1.5697073993210044</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8E48C2-1D1A-8846-9467-CA30C9CB851F}">
  <sheetPr codeName="Sheet19">
    <tabColor rgb="FF99BFE1"/>
  </sheetPr>
  <dimension ref="A1:W40"/>
  <sheetViews>
    <sheetView topLeftCell="A2" zoomScale="84" zoomScaleNormal="84" workbookViewId="0">
      <selection activeCell="L3" sqref="L3"/>
    </sheetView>
  </sheetViews>
  <sheetFormatPr baseColWidth="10" defaultRowHeight="16"/>
  <cols>
    <col min="1" max="1" width="38.1640625" customWidth="1"/>
    <col min="2" max="2" width="18.5" customWidth="1"/>
    <col min="3" max="3" width="10.33203125" bestFit="1" customWidth="1"/>
    <col min="4" max="4" width="15.1640625" customWidth="1"/>
    <col min="5" max="5" width="12.83203125" customWidth="1"/>
    <col min="6" max="6" width="13" customWidth="1"/>
    <col min="7" max="7" width="14.1640625" customWidth="1"/>
    <col min="8" max="8" width="13.6640625" customWidth="1"/>
    <col min="9" max="16" width="13.83203125" customWidth="1"/>
    <col min="17" max="17" width="23.6640625" customWidth="1"/>
    <col min="18" max="18" width="18.83203125" customWidth="1"/>
    <col min="19" max="19" width="13.5" customWidth="1"/>
  </cols>
  <sheetData>
    <row r="1" spans="1:23" s="501" customFormat="1">
      <c r="A1" s="501" t="s">
        <v>841</v>
      </c>
    </row>
    <row r="2" spans="1:23" s="114" customFormat="1" ht="103" thickBot="1">
      <c r="A2" s="284" t="s">
        <v>306</v>
      </c>
      <c r="B2" s="283" t="s">
        <v>618</v>
      </c>
      <c r="C2" s="283" t="s">
        <v>458</v>
      </c>
      <c r="D2" s="283" t="s">
        <v>459</v>
      </c>
      <c r="E2" s="283" t="s">
        <v>460</v>
      </c>
      <c r="F2" s="283" t="s">
        <v>578</v>
      </c>
      <c r="G2" s="283" t="s">
        <v>462</v>
      </c>
      <c r="H2" s="138" t="s">
        <v>465</v>
      </c>
      <c r="I2" s="138" t="s">
        <v>464</v>
      </c>
      <c r="J2" s="138" t="s">
        <v>572</v>
      </c>
      <c r="K2" s="138" t="s">
        <v>570</v>
      </c>
      <c r="L2" s="138" t="s">
        <v>571</v>
      </c>
      <c r="M2" s="138" t="s">
        <v>656</v>
      </c>
      <c r="N2" s="138" t="s">
        <v>820</v>
      </c>
      <c r="O2" s="138" t="s">
        <v>821</v>
      </c>
      <c r="P2" s="138" t="s">
        <v>1072</v>
      </c>
      <c r="Q2" s="138" t="s">
        <v>634</v>
      </c>
      <c r="R2" s="138"/>
      <c r="S2" s="138"/>
      <c r="T2" s="138"/>
    </row>
    <row r="3" spans="1:23" ht="17">
      <c r="A3" s="298" t="s">
        <v>202</v>
      </c>
      <c r="B3" s="54">
        <f>'Privé&amp;Indirect - ARTM'!$B$8</f>
        <v>575.85555077116078</v>
      </c>
      <c r="C3" s="54">
        <f>'Caché - Accident'!$C$6</f>
        <v>3.3660695771362823</v>
      </c>
      <c r="D3" s="282">
        <f>'Privé - Temps'!C19</f>
        <v>4412.430117475833</v>
      </c>
      <c r="E3" s="54">
        <f>'Privé&amp;Indirect - ARTM'!$C$8+'Indirect - Villes'!L13+'Indirect - Villes'!T13+'Indirect - Prov. &amp; Féd.'!$C$10+'Indirect - Prov. &amp; Féd.'!$C$8</f>
        <v>2543.3237772488224</v>
      </c>
      <c r="F3" s="54">
        <f>'Caché - Accident'!$C$7+'Caché - Emprise spatiale'!M17+'Caché - Congestion'!$E$13+'Caché - GES'!$C$9</f>
        <v>433.14535281484575</v>
      </c>
      <c r="G3" s="54">
        <f>-'Caché - Santé'!$C$9</f>
        <v>-527.58383061384006</v>
      </c>
      <c r="H3" s="54">
        <f t="shared" ref="H3:H18" si="0">SUM(B3:D3)</f>
        <v>4991.6517378241297</v>
      </c>
      <c r="I3" s="54">
        <f t="shared" ref="I3:I18" si="1">SUM(E3:G3)</f>
        <v>2448.8852994498284</v>
      </c>
      <c r="J3" s="54">
        <f>I3/H3</f>
        <v>0.49059618500494628</v>
      </c>
      <c r="K3" s="54">
        <f>H3/('Clés de répartition'!G93*2*'Privé - Temps'!$B$11)</f>
        <v>1.03808446956941</v>
      </c>
      <c r="L3" s="54">
        <f>I3/('Clés de répartition'!G93*2*'Privé - Temps'!$B$11)</f>
        <v>0.50928028048363583</v>
      </c>
      <c r="M3" s="366">
        <f>I3/$I$3</f>
        <v>1</v>
      </c>
      <c r="N3" s="366">
        <f>'Auto - résumé'!J3/I3</f>
        <v>3.7851631423271432</v>
      </c>
      <c r="O3" s="366">
        <f>'Auto - résumé'!I3/H3</f>
        <v>1.1972382428696275</v>
      </c>
      <c r="P3" s="366">
        <f>('Auto - résumé'!K3+'Auto - résumé'!L3)/('TC - résumé'!J3+'TC - résumé'!K3)</f>
        <v>1.6500975988649578</v>
      </c>
      <c r="Q3" s="21"/>
      <c r="R3" s="21"/>
      <c r="S3" s="53"/>
      <c r="T3" s="16"/>
    </row>
    <row r="4" spans="1:23">
      <c r="A4" s="19" t="e" vm="1">
        <v>#VALUE!</v>
      </c>
      <c r="B4" s="54">
        <f>'Privé&amp;Indirect - ARTM'!$B$8</f>
        <v>575.85555077116078</v>
      </c>
      <c r="C4" s="54">
        <f>'Caché - Accident'!$C$6</f>
        <v>3.3660695771362823</v>
      </c>
      <c r="D4" s="282">
        <f>'Privé - Temps'!C20</f>
        <v>6777.9820006922801</v>
      </c>
      <c r="E4" s="54">
        <f>'Privé&amp;Indirect - ARTM'!$C$8+'Indirect - Villes'!L14+'Indirect - Villes'!T14+'Indirect - Prov. &amp; Féd.'!$C$10+'Indirect - Prov. &amp; Féd.'!$C$8</f>
        <v>5988.5582368519463</v>
      </c>
      <c r="F4" s="54">
        <f>'Caché - Accident'!$C$7+'Caché - Emprise spatiale'!M18+'Caché - Congestion'!$E$13+'Caché - GES'!$C$9</f>
        <v>333.94831316485124</v>
      </c>
      <c r="G4" s="54">
        <f>-'Caché - Santé'!$C$9</f>
        <v>-527.58383061384006</v>
      </c>
      <c r="H4" s="54">
        <f t="shared" si="0"/>
        <v>7357.2036210405768</v>
      </c>
      <c r="I4" s="54">
        <f t="shared" si="1"/>
        <v>5794.9227194029572</v>
      </c>
      <c r="J4" s="54">
        <f t="shared" ref="J4:J38" si="2">I4/H4</f>
        <v>0.78765289339420841</v>
      </c>
      <c r="K4" s="54">
        <f>H4/('Clés de répartition'!G94*2*'Privé - Temps'!$B$11)</f>
        <v>0.60915017224554213</v>
      </c>
      <c r="L4" s="54">
        <f>I4/('Clés de répartition'!G94*2*'Privé - Temps'!$B$11)</f>
        <v>0.4797988956807816</v>
      </c>
      <c r="M4" s="366">
        <f t="shared" ref="M4:M38" si="3">I4/$I$3</f>
        <v>2.3663512213923847</v>
      </c>
      <c r="N4" s="366">
        <f>'Auto - résumé'!J4/I4</f>
        <v>1.6929049106576353</v>
      </c>
      <c r="O4" s="366">
        <f>'Auto - résumé'!I4/H4</f>
        <v>1.0268541802478599</v>
      </c>
      <c r="P4" s="366">
        <f>('Auto - résumé'!K4+'Auto - résumé'!L4)/('TC - résumé'!J4+'TC - résumé'!K4)</f>
        <v>1.6242273814411536</v>
      </c>
      <c r="S4" s="53"/>
      <c r="T4" s="16"/>
      <c r="V4" s="292"/>
      <c r="W4" s="292"/>
    </row>
    <row r="5" spans="1:23">
      <c r="A5" s="19" t="e" vm="2">
        <v>#VALUE!</v>
      </c>
      <c r="B5" s="54">
        <f>'Privé&amp;Indirect - ARTM'!$B$8</f>
        <v>575.85555077116078</v>
      </c>
      <c r="C5" s="54">
        <f>'Caché - Accident'!$C$6</f>
        <v>3.3660695771362823</v>
      </c>
      <c r="D5" s="282">
        <f>'Privé - Temps'!C21</f>
        <v>5455.7729342317834</v>
      </c>
      <c r="E5" s="54">
        <f>'Privé&amp;Indirect - ARTM'!$C$8+'Indirect - Villes'!L15+'Indirect - Villes'!T15+'Indirect - Prov. &amp; Féd.'!$C$10+'Indirect - Prov. &amp; Féd.'!$C$8</f>
        <v>2628.578059091361</v>
      </c>
      <c r="F5" s="54">
        <f>'Caché - Accident'!$C$7+'Caché - Emprise spatiale'!M19+'Caché - Congestion'!$E$13+'Caché - GES'!$C$9</f>
        <v>282.21387551839905</v>
      </c>
      <c r="G5" s="54">
        <f>-'Caché - Santé'!$C$9</f>
        <v>-527.58383061384006</v>
      </c>
      <c r="H5" s="54">
        <f t="shared" si="0"/>
        <v>6034.9945545800801</v>
      </c>
      <c r="I5" s="54">
        <f t="shared" si="1"/>
        <v>2383.2081039959203</v>
      </c>
      <c r="J5" s="54">
        <f t="shared" si="2"/>
        <v>0.39489813660018219</v>
      </c>
      <c r="K5" s="54">
        <f>H5/('Clés de répartition'!G95*2*'Privé - Temps'!$B$11)</f>
        <v>0.68705600556521396</v>
      </c>
      <c r="L5" s="54">
        <f>I5/('Clés de répartition'!G95*2*'Privé - Temps'!$B$11)</f>
        <v>0.27131713633766741</v>
      </c>
      <c r="M5" s="366">
        <f t="shared" si="3"/>
        <v>0.97318077924324864</v>
      </c>
      <c r="N5" s="366">
        <f>'Auto - résumé'!J5/I5</f>
        <v>3.1751779097355244</v>
      </c>
      <c r="O5" s="366">
        <f>'Auto - résumé'!I5/H5</f>
        <v>1.368402164427579</v>
      </c>
      <c r="P5" s="366">
        <f>('Auto - résumé'!K5+'Auto - résumé'!L5)/('TC - résumé'!J5+'TC - résumé'!K5)</f>
        <v>1.7254638063085144</v>
      </c>
      <c r="S5" s="53"/>
      <c r="T5" s="16"/>
      <c r="V5" s="292"/>
      <c r="W5" s="292"/>
    </row>
    <row r="6" spans="1:23">
      <c r="A6" s="19" t="e" vm="3">
        <v>#VALUE!</v>
      </c>
      <c r="B6" s="54">
        <f>'Privé&amp;Indirect - ARTM'!$B$8</f>
        <v>575.85555077116078</v>
      </c>
      <c r="C6" s="54">
        <f>'Caché - Accident'!$C$6</f>
        <v>3.3660695771362823</v>
      </c>
      <c r="D6" s="282">
        <f>'Privé - Temps'!C22</f>
        <v>4952.0649616624314</v>
      </c>
      <c r="E6" s="54">
        <f>'Privé&amp;Indirect - ARTM'!$C$8+'Indirect - Villes'!L16+'Indirect - Villes'!T16+'Indirect - Prov. &amp; Féd.'!$C$10+'Indirect - Prov. &amp; Féd.'!$C$8</f>
        <v>2336.0431925765251</v>
      </c>
      <c r="F6" s="54">
        <f>'Caché - Accident'!$C$7+'Caché - Emprise spatiale'!M20+'Caché - Congestion'!$E$13+'Caché - GES'!$C$9</f>
        <v>324.02446093476772</v>
      </c>
      <c r="G6" s="54">
        <f>-'Caché - Santé'!$C$9</f>
        <v>-527.58383061384006</v>
      </c>
      <c r="H6" s="54">
        <f t="shared" si="0"/>
        <v>5531.2865820107281</v>
      </c>
      <c r="I6" s="54">
        <f t="shared" si="1"/>
        <v>2132.4838228974531</v>
      </c>
      <c r="J6" s="54">
        <f t="shared" si="2"/>
        <v>0.38553124870312805</v>
      </c>
      <c r="K6" s="54">
        <f>H6/('Clés de répartition'!G96*2*'Privé - Temps'!$B$11)</f>
        <v>1.2192709696410566</v>
      </c>
      <c r="L6" s="54">
        <f>I6/('Clés de répartition'!G96*2*'Privé - Temps'!$B$11)</f>
        <v>0.47006705943319027</v>
      </c>
      <c r="M6" s="366">
        <f t="shared" si="3"/>
        <v>0.87079775576934593</v>
      </c>
      <c r="N6" s="366">
        <f>'Auto - résumé'!J6/I6</f>
        <v>3.4659483012867884</v>
      </c>
      <c r="O6" s="366">
        <f>'Auto - résumé'!I6/H6</f>
        <v>1.0243276338166418</v>
      </c>
      <c r="P6" s="366">
        <f>('Auto - résumé'!K6+'Auto - résumé'!L6)/('TC - résumé'!J6+'TC - résumé'!K6)</f>
        <v>1.5875631948394135</v>
      </c>
      <c r="R6" s="54"/>
      <c r="S6" s="53"/>
      <c r="T6" s="16"/>
      <c r="V6" s="292"/>
      <c r="W6" s="292"/>
    </row>
    <row r="7" spans="1:23">
      <c r="A7" s="19" t="e" vm="4">
        <v>#VALUE!</v>
      </c>
      <c r="B7" s="54">
        <f>'Privé&amp;Indirect - ARTM'!$B$8</f>
        <v>575.85555077116078</v>
      </c>
      <c r="C7" s="54">
        <f>'Caché - Accident'!$C$6</f>
        <v>3.3660695771362823</v>
      </c>
      <c r="D7" s="282">
        <f>'Privé - Temps'!C23</f>
        <v>6280.4099901696172</v>
      </c>
      <c r="E7" s="54">
        <f>'Privé&amp;Indirect - ARTM'!$C$8+'Indirect - Villes'!L17+'Indirect - Villes'!T17+'Indirect - Prov. &amp; Féd.'!$C$10+'Indirect - Prov. &amp; Féd.'!$C$8</f>
        <v>2559.2741082654525</v>
      </c>
      <c r="F7" s="54">
        <f>'Caché - Accident'!$C$7+'Caché - Emprise spatiale'!M21+'Caché - Congestion'!$E$13+'Caché - GES'!$C$9</f>
        <v>277.56833431207338</v>
      </c>
      <c r="G7" s="54">
        <f>-'Caché - Santé'!$C$9</f>
        <v>-527.58383061384006</v>
      </c>
      <c r="H7" s="54">
        <f t="shared" si="0"/>
        <v>6859.6316105179139</v>
      </c>
      <c r="I7" s="54">
        <f t="shared" si="1"/>
        <v>2309.2586119636853</v>
      </c>
      <c r="J7" s="54">
        <f t="shared" si="2"/>
        <v>0.3366446980072349</v>
      </c>
      <c r="K7" s="54">
        <f>H7/('Clés de répartition'!G97*2*'Privé - Temps'!$B$11)</f>
        <v>0.8435277008575246</v>
      </c>
      <c r="L7" s="54">
        <f>I7/('Clés de répartition'!G97*2*'Privé - Temps'!$B$11)</f>
        <v>0.28396912811591851</v>
      </c>
      <c r="M7" s="366">
        <f t="shared" si="3"/>
        <v>0.94298357398874011</v>
      </c>
      <c r="N7" s="366">
        <f>'Auto - résumé'!J7/I7</f>
        <v>3.4035344670994383</v>
      </c>
      <c r="O7" s="366">
        <f>'Auto - résumé'!I7/H7</f>
        <v>1.0448104659839808</v>
      </c>
      <c r="P7" s="366">
        <f>('Auto - résumé'!K7+'Auto - résumé'!L7)/('TC - résumé'!J7+'TC - résumé'!K7)</f>
        <v>1.7370323254234452</v>
      </c>
      <c r="R7" s="54"/>
      <c r="S7" s="53"/>
      <c r="T7" s="16"/>
      <c r="V7" s="292"/>
      <c r="W7" s="292"/>
    </row>
    <row r="8" spans="1:23">
      <c r="A8" s="19" t="e" vm="5">
        <v>#VALUE!</v>
      </c>
      <c r="B8" s="54">
        <f>'Privé&amp;Indirect - ARTM'!$B$8</f>
        <v>575.85555077116078</v>
      </c>
      <c r="C8" s="54">
        <f>'Caché - Accident'!$C$6</f>
        <v>3.3660695771362823</v>
      </c>
      <c r="D8" s="282">
        <f>'Privé - Temps'!C24</f>
        <v>5449.4086827778265</v>
      </c>
      <c r="E8" s="54">
        <f>'Privé&amp;Indirect - ARTM'!$C$8+'Indirect - Villes'!L18+'Indirect - Villes'!T18+'Indirect - Prov. &amp; Féd.'!$C$10+'Indirect - Prov. &amp; Féd.'!$C$8</f>
        <v>4860.0549296753543</v>
      </c>
      <c r="F8" s="54">
        <f>'Caché - Accident'!$C$7+'Caché - Emprise spatiale'!M22+'Caché - Congestion'!$E$13+'Caché - GES'!$C$9</f>
        <v>344.56960967165958</v>
      </c>
      <c r="G8" s="54">
        <f>-'Caché - Santé'!$C$9</f>
        <v>-527.58383061384006</v>
      </c>
      <c r="H8" s="54">
        <f t="shared" si="0"/>
        <v>6028.6303031261232</v>
      </c>
      <c r="I8" s="54">
        <f t="shared" si="1"/>
        <v>4677.0407087331732</v>
      </c>
      <c r="J8" s="54">
        <f t="shared" si="2"/>
        <v>0.77580486338794263</v>
      </c>
      <c r="K8" s="54">
        <f>H8/('Clés de répartition'!G98*2*'Privé - Temps'!$B$11)</f>
        <v>0.7372888013698301</v>
      </c>
      <c r="L8" s="54">
        <f>I8/('Clés de répartition'!G98*2*'Privé - Temps'!$B$11)</f>
        <v>0.57199223782418096</v>
      </c>
      <c r="M8" s="366">
        <f t="shared" si="3"/>
        <v>1.9098651577450061</v>
      </c>
      <c r="N8" s="366">
        <f>'Auto - résumé'!J8/I8</f>
        <v>1.7926158805334853</v>
      </c>
      <c r="O8" s="366">
        <f>'Auto - résumé'!I8/H8</f>
        <v>1.0432461158917561</v>
      </c>
      <c r="P8" s="366">
        <f>('Auto - résumé'!K8+'Auto - résumé'!L8)/('TC - résumé'!J8+'TC - résumé'!K8)</f>
        <v>1.4937475437339411</v>
      </c>
      <c r="S8" s="53"/>
      <c r="T8" s="16"/>
      <c r="V8" s="292"/>
      <c r="W8" s="292"/>
    </row>
    <row r="9" spans="1:23">
      <c r="A9" s="19" t="e" vm="6">
        <v>#VALUE!</v>
      </c>
      <c r="B9" s="54">
        <f>'Privé&amp;Indirect - ARTM'!$B$8</f>
        <v>575.85555077116078</v>
      </c>
      <c r="C9" s="54">
        <f>'Caché - Accident'!$C$6</f>
        <v>3.3660695771362823</v>
      </c>
      <c r="D9" s="282">
        <f>'Privé - Temps'!C25</f>
        <v>3825.5418495387912</v>
      </c>
      <c r="E9" s="54">
        <f>'Privé&amp;Indirect - ARTM'!$C$8+'Indirect - Villes'!L19+'Indirect - Villes'!T19+'Indirect - Prov. &amp; Féd.'!$C$10+'Indirect - Prov. &amp; Féd.'!$C$8</f>
        <v>2712.598044430727</v>
      </c>
      <c r="F9" s="54">
        <f>'Caché - Accident'!$C$7+'Caché - Emprise spatiale'!M23+'Caché - Congestion'!$E$13+'Caché - GES'!$C$9</f>
        <v>1026.2595354967029</v>
      </c>
      <c r="G9" s="54">
        <f>-'Caché - Santé'!$C$9</f>
        <v>-527.58383061384006</v>
      </c>
      <c r="H9" s="54">
        <f t="shared" si="0"/>
        <v>4404.7634698870879</v>
      </c>
      <c r="I9" s="54">
        <f t="shared" si="1"/>
        <v>3211.2737493135901</v>
      </c>
      <c r="J9" s="54">
        <f t="shared" si="2"/>
        <v>0.72904567322792213</v>
      </c>
      <c r="K9" s="54">
        <f>H9/('Clés de répartition'!G99*2*'Privé - Temps'!$B$11)</f>
        <v>1.1539966844387957</v>
      </c>
      <c r="L9" s="54">
        <f>I9/('Clés de répartition'!G99*2*'Privé - Temps'!$B$11)</f>
        <v>0.8413162897094717</v>
      </c>
      <c r="M9" s="366">
        <f t="shared" si="3"/>
        <v>1.3113206037191867</v>
      </c>
      <c r="N9" s="366">
        <f>'Auto - résumé'!J9/I9</f>
        <v>4.1714017749786114</v>
      </c>
      <c r="O9" s="366">
        <f>'Auto - résumé'!I9/H9</f>
        <v>1.0364824205180314</v>
      </c>
      <c r="P9" s="366">
        <f>('Auto - résumé'!K9+'Auto - résumé'!L9)/('TC - résumé'!J9+'TC - résumé'!K9)</f>
        <v>2.1827402984918782</v>
      </c>
      <c r="Q9" t="s">
        <v>632</v>
      </c>
      <c r="R9" s="54"/>
      <c r="S9" s="53"/>
      <c r="T9" s="16"/>
      <c r="V9" s="292"/>
      <c r="W9" s="292"/>
    </row>
    <row r="10" spans="1:23">
      <c r="A10" s="19" t="e" vm="7">
        <v>#VALUE!</v>
      </c>
      <c r="B10" s="54">
        <f>'Privé&amp;Indirect - ARTM'!$B$8</f>
        <v>575.85555077116078</v>
      </c>
      <c r="C10" s="54">
        <f>'Caché - Accident'!$C$6</f>
        <v>3.3660695771362823</v>
      </c>
      <c r="D10" s="282">
        <f>'Privé - Temps'!C26</f>
        <v>6118.810785829327</v>
      </c>
      <c r="E10" s="54">
        <f>'Privé&amp;Indirect - ARTM'!$C$8+'Indirect - Villes'!L20+'Indirect - Villes'!T20+'Indirect - Prov. &amp; Féd.'!$C$10+'Indirect - Prov. &amp; Féd.'!$C$8</f>
        <v>3375.6894736131371</v>
      </c>
      <c r="F10" s="54">
        <f>'Caché - Accident'!$C$7+'Caché - Emprise spatiale'!M24+'Caché - Congestion'!$E$13+'Caché - GES'!$C$9</f>
        <v>291.68462645345699</v>
      </c>
      <c r="G10" s="54">
        <f>-'Caché - Santé'!$C$9</f>
        <v>-527.58383061384006</v>
      </c>
      <c r="H10" s="54">
        <f t="shared" si="0"/>
        <v>6698.0324061776237</v>
      </c>
      <c r="I10" s="54">
        <f t="shared" si="1"/>
        <v>3139.7902694527538</v>
      </c>
      <c r="J10" s="54">
        <f t="shared" si="2"/>
        <v>0.46876307534088846</v>
      </c>
      <c r="K10" s="54">
        <f>H10/('Clés de répartition'!G100*2*'Privé - Temps'!$B$11)</f>
        <v>0.79450009105457331</v>
      </c>
      <c r="L10" s="54">
        <f>I10/('Clés de répartition'!G100*2*'Privé - Temps'!$B$11)</f>
        <v>0.37243230604135769</v>
      </c>
      <c r="M10" s="366">
        <f t="shared" si="3"/>
        <v>1.2821303922066687</v>
      </c>
      <c r="N10" s="366">
        <f>'Auto - résumé'!J10/I10</f>
        <v>2.7475087437178574</v>
      </c>
      <c r="O10" s="366">
        <f>'Auto - résumé'!I10/H10</f>
        <v>1.2681270564633658</v>
      </c>
      <c r="P10" s="366">
        <f>('Auto - résumé'!K10+'Auto - résumé'!L10)/('TC - résumé'!J10+'TC - résumé'!K10)</f>
        <v>1.5482878822508557</v>
      </c>
      <c r="S10" s="53"/>
      <c r="T10" s="16"/>
      <c r="V10" s="292"/>
      <c r="W10" s="292"/>
    </row>
    <row r="11" spans="1:23">
      <c r="A11" s="19" t="e" vm="8">
        <v>#VALUE!</v>
      </c>
      <c r="B11" s="54">
        <f>'Privé&amp;Indirect - ARTM'!$B$8</f>
        <v>575.85555077116078</v>
      </c>
      <c r="C11" s="54">
        <f>'Caché - Accident'!$C$6</f>
        <v>3.3660695771362823</v>
      </c>
      <c r="D11" s="282">
        <f>'Privé - Temps'!C27</f>
        <v>4344.4425921306956</v>
      </c>
      <c r="E11" s="54">
        <f>'Privé&amp;Indirect - ARTM'!$C$8+'Indirect - Villes'!L21+'Indirect - Villes'!T21+'Indirect - Prov. &amp; Féd.'!$C$10+'Indirect - Prov. &amp; Féd.'!$C$8</f>
        <v>2482.0274814212876</v>
      </c>
      <c r="F11" s="54">
        <f>'Caché - Accident'!$C$7+'Caché - Emprise spatiale'!M25+'Caché - Congestion'!$E$13+'Caché - GES'!$C$9</f>
        <v>425.15013264987056</v>
      </c>
      <c r="G11" s="54">
        <f>-'Caché - Santé'!$C$9</f>
        <v>-527.58383061384006</v>
      </c>
      <c r="H11" s="54">
        <f t="shared" si="0"/>
        <v>4923.6642124789923</v>
      </c>
      <c r="I11" s="54">
        <f t="shared" si="1"/>
        <v>2379.5937834573178</v>
      </c>
      <c r="J11" s="54">
        <f t="shared" si="2"/>
        <v>0.48329733319876977</v>
      </c>
      <c r="K11" s="54">
        <f>H11/('Clés de répartition'!G101*2*'Privé - Temps'!$B$11)</f>
        <v>1.0562875023429683</v>
      </c>
      <c r="L11" s="54">
        <f>I11/('Clés de répartition'!G101*2*'Privé - Temps'!$B$11)</f>
        <v>0.51050093297354593</v>
      </c>
      <c r="M11" s="366">
        <f t="shared" si="3"/>
        <v>0.97170487486364598</v>
      </c>
      <c r="N11" s="366">
        <f>'Auto - résumé'!J11/I11</f>
        <v>3.9262908982420988</v>
      </c>
      <c r="O11" s="366">
        <f>'Auto - résumé'!I11/H11</f>
        <v>1.1898287360950432</v>
      </c>
      <c r="P11" s="366">
        <f>('Auto - résumé'!K11+'Auto - résumé'!L11)/('TC - résumé'!J11+'TC - résumé'!K11)</f>
        <v>1.6648926619488047</v>
      </c>
      <c r="R11" s="53"/>
      <c r="S11" s="53"/>
      <c r="T11" s="16"/>
      <c r="V11" s="292"/>
      <c r="W11" s="292"/>
    </row>
    <row r="12" spans="1:23">
      <c r="A12" s="19" t="e" vm="9">
        <v>#VALUE!</v>
      </c>
      <c r="B12" s="54">
        <f>'Privé&amp;Indirect - ARTM'!$B$8</f>
        <v>575.85555077116078</v>
      </c>
      <c r="C12" s="54">
        <f>'Caché - Accident'!$C$6</f>
        <v>3.3660695771362823</v>
      </c>
      <c r="D12" s="282">
        <f>'Privé - Temps'!C28</f>
        <v>5636.3130870086952</v>
      </c>
      <c r="E12" s="54">
        <f>'Privé&amp;Indirect - ARTM'!$C$8+'Indirect - Villes'!L22+'Indirect - Villes'!T22+'Indirect - Prov. &amp; Féd.'!$C$10+'Indirect - Prov. &amp; Féd.'!$C$8</f>
        <v>1921.3151906980374</v>
      </c>
      <c r="F12" s="54">
        <f>'Caché - Accident'!$C$7+'Caché - Emprise spatiale'!M26+'Caché - Congestion'!$E$13+'Caché - GES'!$C$9</f>
        <v>273.2495295733388</v>
      </c>
      <c r="G12" s="54">
        <f>-'Caché - Santé'!$C$9</f>
        <v>-527.58383061384006</v>
      </c>
      <c r="H12" s="54">
        <f t="shared" si="0"/>
        <v>6215.5347073569919</v>
      </c>
      <c r="I12" s="54">
        <f t="shared" si="1"/>
        <v>1666.9808896575362</v>
      </c>
      <c r="J12" s="54">
        <f t="shared" si="2"/>
        <v>0.26819589434267355</v>
      </c>
      <c r="K12" s="54">
        <f>H12/('Clés de répartition'!G102*2*'Privé - Temps'!$B$11)</f>
        <v>0.84003791851329457</v>
      </c>
      <c r="L12" s="54">
        <f>I12/('Clés de répartition'!G102*2*'Privé - Temps'!$B$11)</f>
        <v>0.22529472083743096</v>
      </c>
      <c r="M12" s="366">
        <f t="shared" si="3"/>
        <v>0.68071007246931636</v>
      </c>
      <c r="N12" s="366">
        <f>'Auto - résumé'!J12/I12</f>
        <v>7.0709021540744992</v>
      </c>
      <c r="O12" s="366">
        <f>'Auto - résumé'!I12/H12</f>
        <v>1.0277877856257225</v>
      </c>
      <c r="P12" s="366">
        <f>('Auto - résumé'!K12+'Auto - résumé'!L12)/('TC - résumé'!J12+'TC - résumé'!K12)</f>
        <v>2.4851683272293736</v>
      </c>
      <c r="S12" s="53"/>
      <c r="T12" s="16"/>
      <c r="V12" s="292"/>
      <c r="W12" s="292"/>
    </row>
    <row r="13" spans="1:23">
      <c r="A13" s="19" t="e" vm="10">
        <v>#VALUE!</v>
      </c>
      <c r="B13" s="54">
        <f>'Privé&amp;Indirect - ARTM'!$B$8</f>
        <v>575.85555077116078</v>
      </c>
      <c r="C13" s="54">
        <f>'Caché - Accident'!$C$6</f>
        <v>3.3660695771362823</v>
      </c>
      <c r="D13" s="282">
        <f>'Privé - Temps'!C29</f>
        <v>4578.8098848218178</v>
      </c>
      <c r="E13" s="54">
        <f>'Privé&amp;Indirect - ARTM'!$C$8+'Indirect - Villes'!L23+'Indirect - Villes'!T23+'Indirect - Prov. &amp; Féd.'!$C$10+'Indirect - Prov. &amp; Féd.'!$C$8</f>
        <v>2637.0434464737637</v>
      </c>
      <c r="F13" s="54">
        <f>'Caché - Accident'!$C$7+'Caché - Emprise spatiale'!M27+'Caché - Congestion'!$E$13+'Caché - GES'!$C$9</f>
        <v>775.01528275060002</v>
      </c>
      <c r="G13" s="54">
        <f>-'Caché - Santé'!$C$9</f>
        <v>-527.58383061384006</v>
      </c>
      <c r="H13" s="54">
        <f t="shared" si="0"/>
        <v>5158.0315051701145</v>
      </c>
      <c r="I13" s="54">
        <f t="shared" si="1"/>
        <v>2884.4748986105233</v>
      </c>
      <c r="J13" s="54">
        <f t="shared" si="2"/>
        <v>0.55922010086973906</v>
      </c>
      <c r="K13" s="54">
        <f>H13/('Clés de répartition'!G103*2*'Privé - Temps'!$B$11)</f>
        <v>1.2194001321917864</v>
      </c>
      <c r="L13" s="54">
        <f>I13/('Clés de répartition'!G103*2*'Privé - Temps'!$B$11)</f>
        <v>0.68191306492486392</v>
      </c>
      <c r="M13" s="366">
        <f t="shared" si="3"/>
        <v>1.1778726015704186</v>
      </c>
      <c r="N13" s="366">
        <f>'Auto - résumé'!J13/I13</f>
        <v>3.9494370343672536</v>
      </c>
      <c r="O13" s="366">
        <f>'Auto - résumé'!I13/H13</f>
        <v>1.2213457867650388</v>
      </c>
      <c r="P13" s="366">
        <f>('Auto - résumé'!K13+'Auto - résumé'!L13)/('TC - résumé'!J13+'TC - résumé'!K13)</f>
        <v>1.5893723941468338</v>
      </c>
      <c r="S13" s="53"/>
      <c r="T13" s="16"/>
      <c r="V13" s="292"/>
      <c r="W13" s="292"/>
    </row>
    <row r="14" spans="1:23">
      <c r="A14" s="19" t="e" vm="11">
        <v>#VALUE!</v>
      </c>
      <c r="B14" s="54">
        <f>'Privé&amp;Indirect - ARTM'!$B$8</f>
        <v>575.85555077116078</v>
      </c>
      <c r="C14" s="54">
        <f>'Caché - Accident'!$C$6</f>
        <v>3.3660695771362823</v>
      </c>
      <c r="D14" s="282">
        <f>'Privé - Temps'!C30</f>
        <v>4459.8943341119884</v>
      </c>
      <c r="E14" s="54">
        <f>'Privé&amp;Indirect - ARTM'!$C$8+'Indirect - Villes'!L24+'Indirect - Villes'!T24+'Indirect - Prov. &amp; Féd.'!$C$10+'Indirect - Prov. &amp; Féd.'!$C$8</f>
        <v>3663.5942307754922</v>
      </c>
      <c r="F14" s="54">
        <f>'Caché - Accident'!$C$7+'Caché - Emprise spatiale'!M28+'Caché - Congestion'!$E$13+'Caché - GES'!$C$9</f>
        <v>1014.2845866083092</v>
      </c>
      <c r="G14" s="54">
        <f>-'Caché - Santé'!$C$9</f>
        <v>-527.58383061384006</v>
      </c>
      <c r="H14" s="54">
        <f t="shared" si="0"/>
        <v>5039.1159544602851</v>
      </c>
      <c r="I14" s="54">
        <f t="shared" si="1"/>
        <v>4150.2949867699608</v>
      </c>
      <c r="J14" s="54">
        <f t="shared" si="2"/>
        <v>0.82361569455380368</v>
      </c>
      <c r="K14" s="54">
        <f>H14/('Clés de répartition'!G104*2*'Privé - Temps'!$B$11)</f>
        <v>1.1432665688117025</v>
      </c>
      <c r="L14" s="54">
        <f>I14/('Clés de répartition'!G104*2*'Privé - Temps'!$B$11)</f>
        <v>0.94161228913199424</v>
      </c>
      <c r="M14" s="366">
        <f t="shared" si="3"/>
        <v>1.6947690394900792</v>
      </c>
      <c r="N14" s="366">
        <f>'Auto - résumé'!J14/I14</f>
        <v>3.0370947320312185</v>
      </c>
      <c r="O14" s="366">
        <f>'Auto - résumé'!I14/H14</f>
        <v>1.0315914113709872</v>
      </c>
      <c r="P14" s="366">
        <f>('Auto - résumé'!K14+'Auto - résumé'!L14)/('TC - résumé'!J14+'TC - résumé'!K14)</f>
        <v>1.7614393732671647</v>
      </c>
      <c r="Q14" t="s">
        <v>632</v>
      </c>
      <c r="S14" s="53"/>
      <c r="T14" s="16"/>
      <c r="V14" s="292"/>
      <c r="W14" s="292"/>
    </row>
    <row r="15" spans="1:23">
      <c r="A15" s="19" t="e" vm="12">
        <v>#VALUE!</v>
      </c>
      <c r="B15" s="54">
        <f>'Privé&amp;Indirect - ARTM'!$B$8</f>
        <v>575.85555077116078</v>
      </c>
      <c r="C15" s="54">
        <f>'Caché - Accident'!$C$6</f>
        <v>3.3660695771362823</v>
      </c>
      <c r="D15" s="282">
        <f>'Privé - Temps'!C31</f>
        <v>5541.9806753010234</v>
      </c>
      <c r="E15" s="54">
        <f>'Privé&amp;Indirect - ARTM'!$C$8+'Indirect - Villes'!L25+'Indirect - Villes'!T25+'Indirect - Prov. &amp; Féd.'!$C$10+'Indirect - Prov. &amp; Féd.'!$C$8</f>
        <v>4050.8130714052841</v>
      </c>
      <c r="F15" s="54">
        <f>'Caché - Accident'!$C$7+'Caché - Emprise spatiale'!M29+'Caché - Congestion'!$E$13+'Caché - GES'!$C$9</f>
        <v>397.19386745020006</v>
      </c>
      <c r="G15" s="54">
        <f>-'Caché - Santé'!$C$9</f>
        <v>-527.58383061384006</v>
      </c>
      <c r="H15" s="54">
        <f t="shared" si="0"/>
        <v>6121.2022956493201</v>
      </c>
      <c r="I15" s="54">
        <f t="shared" si="1"/>
        <v>3920.4231082416436</v>
      </c>
      <c r="J15" s="54">
        <f t="shared" si="2"/>
        <v>0.64046618930207666</v>
      </c>
      <c r="K15" s="54">
        <f>H15/('Clés de répartition'!G105*2*'Privé - Temps'!$B$11)</f>
        <v>0.73089318365491052</v>
      </c>
      <c r="L15" s="54">
        <f>I15/('Clés de répartition'!G105*2*'Privé - Temps'!$B$11)</f>
        <v>0.46811237212232337</v>
      </c>
      <c r="M15" s="366">
        <f t="shared" si="3"/>
        <v>1.6009010749186228</v>
      </c>
      <c r="N15" s="366">
        <f>'Auto - résumé'!J15/I15</f>
        <v>2.0724574229563877</v>
      </c>
      <c r="O15" s="366">
        <f>'Auto - résumé'!I15/H15</f>
        <v>1.0125296967254223</v>
      </c>
      <c r="P15" s="366">
        <f>('Auto - résumé'!K15+'Auto - résumé'!L15)/('TC - résumé'!J15+'TC - résumé'!K15)</f>
        <v>1.6731690081741248</v>
      </c>
      <c r="S15" s="53"/>
      <c r="T15" s="16"/>
      <c r="V15" s="292"/>
      <c r="W15" s="292"/>
    </row>
    <row r="16" spans="1:23">
      <c r="A16" s="19" t="e" vm="13">
        <v>#VALUE!</v>
      </c>
      <c r="B16" s="54">
        <f>'Privé&amp;Indirect - ARTM'!$B$8</f>
        <v>575.85555077116078</v>
      </c>
      <c r="C16" s="54">
        <f>'Caché - Accident'!$C$6</f>
        <v>3.3660695771362823</v>
      </c>
      <c r="D16" s="282">
        <f>'Privé - Temps'!C32</f>
        <v>5834.12125821889</v>
      </c>
      <c r="E16" s="54">
        <f>'Privé&amp;Indirect - ARTM'!$C$8+'Indirect - Villes'!L26+'Indirect - Villes'!T26+'Indirect - Prov. &amp; Féd.'!$C$10+'Indirect - Prov. &amp; Féd.'!$C$8</f>
        <v>3316.3502055417612</v>
      </c>
      <c r="F16" s="54">
        <f>'Caché - Accident'!$C$7+'Caché - Emprise spatiale'!M30+'Caché - Congestion'!$E$13+'Caché - GES'!$C$9</f>
        <v>204.61747570947719</v>
      </c>
      <c r="G16" s="54">
        <f>-'Caché - Santé'!$C$9</f>
        <v>-527.58383061384006</v>
      </c>
      <c r="H16" s="54">
        <f t="shared" si="0"/>
        <v>6413.3428785671867</v>
      </c>
      <c r="I16" s="54">
        <f t="shared" si="1"/>
        <v>2993.3838506373986</v>
      </c>
      <c r="J16" s="54">
        <f t="shared" si="2"/>
        <v>0.46674314898101227</v>
      </c>
      <c r="K16" s="54">
        <f>H16/('Clés de répartition'!G106*2*'Privé - Temps'!$B$11)</f>
        <v>0.77291959038319435</v>
      </c>
      <c r="L16" s="54">
        <f>I16/('Clés de répartition'!G106*2*'Privé - Temps'!$B$11)</f>
        <v>0.36075492352456628</v>
      </c>
      <c r="M16" s="366">
        <f t="shared" si="3"/>
        <v>1.2223454693079738</v>
      </c>
      <c r="N16" s="366">
        <f>'Auto - résumé'!J16/I16</f>
        <v>2.4080776959855426</v>
      </c>
      <c r="O16" s="366">
        <f>'Auto - résumé'!I16/H16</f>
        <v>1.2742241658229496</v>
      </c>
      <c r="P16" s="366">
        <f>('Auto - résumé'!K16+'Auto - résumé'!L16)/('TC - résumé'!J16+'TC - résumé'!K16)</f>
        <v>1.4110925962560865</v>
      </c>
      <c r="S16" s="53"/>
      <c r="T16" s="16"/>
      <c r="V16" s="292"/>
      <c r="W16" s="292"/>
    </row>
    <row r="17" spans="1:23">
      <c r="A17" s="19" t="e" vm="14">
        <v>#VALUE!</v>
      </c>
      <c r="B17" s="54">
        <f>'Privé&amp;Indirect - ARTM'!$B$8</f>
        <v>575.85555077116078</v>
      </c>
      <c r="C17" s="54">
        <f>'Caché - Accident'!$C$6</f>
        <v>3.3660695771362823</v>
      </c>
      <c r="D17" s="282">
        <f>'Privé - Temps'!C33</f>
        <v>10707.09766052445</v>
      </c>
      <c r="E17" s="54">
        <f>'Privé&amp;Indirect - ARTM'!$C$8+'Indirect - Villes'!L27+'Indirect - Villes'!T27+'Indirect - Prov. &amp; Féd.'!$C$10+'Indirect - Prov. &amp; Féd.'!$C$8</f>
        <v>5589.150549155137</v>
      </c>
      <c r="F17" s="54">
        <f>'Caché - Accident'!$C$7+'Caché - Emprise spatiale'!M31+'Caché - Congestion'!$E$13+'Caché - GES'!$C$9</f>
        <v>169.85714167635712</v>
      </c>
      <c r="G17" s="54">
        <f>-'Caché - Santé'!$C$9</f>
        <v>-527.58383061384006</v>
      </c>
      <c r="H17" s="54">
        <f t="shared" si="0"/>
        <v>11286.319280872747</v>
      </c>
      <c r="I17" s="54">
        <f t="shared" si="1"/>
        <v>5231.4238602176538</v>
      </c>
      <c r="J17" s="54">
        <f t="shared" si="2"/>
        <v>0.46351903840639169</v>
      </c>
      <c r="K17" s="54">
        <f>H17/('Clés de répartition'!G107*2*'Privé - Temps'!$B$11)</f>
        <v>0.6308563175490155</v>
      </c>
      <c r="L17" s="54">
        <f>I17/('Clés de répartition'!G107*2*'Privé - Temps'!$B$11)</f>
        <v>0.29241391368291697</v>
      </c>
      <c r="M17" s="366">
        <f t="shared" si="3"/>
        <v>2.1362469942520201</v>
      </c>
      <c r="N17" s="366">
        <f>'Auto - résumé'!J17/I17</f>
        <v>1.5970338335045433</v>
      </c>
      <c r="O17" s="366">
        <f>'Auto - résumé'!I17/H17</f>
        <v>0.99422565477864155</v>
      </c>
      <c r="P17" s="366">
        <f>('Auto - résumé'!K17+'Auto - résumé'!L17)/('TC - résumé'!J17+'TC - résumé'!K17)</f>
        <v>1.4872941540451912</v>
      </c>
      <c r="S17" s="53"/>
      <c r="T17" s="16"/>
      <c r="V17" s="292"/>
      <c r="W17" s="292"/>
    </row>
    <row r="18" spans="1:23">
      <c r="A18" s="19" t="e" vm="15">
        <v>#VALUE!</v>
      </c>
      <c r="B18" s="54">
        <f>'Privé&amp;Indirect - ARTM'!$B$8</f>
        <v>575.85555077116078</v>
      </c>
      <c r="C18" s="54">
        <f>'Caché - Accident'!$C$6</f>
        <v>3.3660695771362823</v>
      </c>
      <c r="D18" s="282">
        <f>'Privé - Temps'!C34</f>
        <v>3355.2607801788363</v>
      </c>
      <c r="E18" s="54">
        <f>'Privé&amp;Indirect - ARTM'!$C$8+'Indirect - Villes'!L28+'Indirect - Villes'!T28+'Indirect - Prov. &amp; Féd.'!$C$10+'Indirect - Prov. &amp; Féd.'!$C$8</f>
        <v>4351.2296572155719</v>
      </c>
      <c r="F18" s="54">
        <f>'Caché - Accident'!$C$7+'Caché - Emprise spatiale'!M32+'Caché - Congestion'!$E$13+'Caché - GES'!$C$9</f>
        <v>1282.8906809755103</v>
      </c>
      <c r="G18" s="54">
        <f>-'Caché - Santé'!$C$9</f>
        <v>-527.58383061384006</v>
      </c>
      <c r="H18" s="54">
        <f t="shared" si="0"/>
        <v>3934.4824005271334</v>
      </c>
      <c r="I18" s="54">
        <f t="shared" si="1"/>
        <v>5106.5365075772415</v>
      </c>
      <c r="J18" s="54">
        <f t="shared" si="2"/>
        <v>1.2978928325853176</v>
      </c>
      <c r="K18" s="54">
        <f>H18/('Clés de répartition'!G108*2*'Privé - Temps'!$B$11)</f>
        <v>1.2147785475690946</v>
      </c>
      <c r="L18" s="54">
        <f>I18/('Clés de répartition'!G108*2*'Privé - Temps'!$B$11)</f>
        <v>1.5766523700683304</v>
      </c>
      <c r="M18" s="366">
        <f t="shared" si="3"/>
        <v>2.0852493617093812</v>
      </c>
      <c r="N18" s="366">
        <f>'Auto - résumé'!J18/I18</f>
        <v>2.6886067060054475</v>
      </c>
      <c r="O18" s="366">
        <f>'Auto - résumé'!I18/H18</f>
        <v>1.1895388745889934</v>
      </c>
      <c r="P18" s="366">
        <f>('Auto - résumé'!K18+'Auto - résumé'!L18)/('TC - résumé'!J18+'TC - résumé'!K18)</f>
        <v>1.64764363272741</v>
      </c>
      <c r="Q18" t="s">
        <v>632</v>
      </c>
      <c r="S18" s="53"/>
      <c r="T18" s="16"/>
      <c r="V18" s="292"/>
      <c r="W18" s="292"/>
    </row>
    <row r="19" spans="1:23">
      <c r="A19" s="107" t="s">
        <v>585</v>
      </c>
      <c r="B19" s="326"/>
      <c r="C19" s="326"/>
      <c r="D19" s="325"/>
      <c r="E19" s="325"/>
      <c r="F19" s="326"/>
      <c r="G19" s="326"/>
      <c r="H19" s="326"/>
      <c r="I19" s="326"/>
      <c r="J19" s="326"/>
      <c r="K19" s="326"/>
      <c r="L19" s="326"/>
      <c r="M19" s="326"/>
      <c r="N19" s="326"/>
      <c r="O19" s="326"/>
      <c r="P19" s="326"/>
      <c r="S19" s="53"/>
      <c r="T19" s="16"/>
      <c r="V19" s="292"/>
      <c r="W19" s="292"/>
    </row>
    <row r="20" spans="1:23" ht="17">
      <c r="A20" s="66" t="e" vm="16">
        <v>#VALUE!</v>
      </c>
      <c r="B20" s="54">
        <f>'Privé&amp;Indirect - ARTM'!$B$8</f>
        <v>575.85555077116078</v>
      </c>
      <c r="C20" s="54">
        <f>'Caché - Accident'!$C$6</f>
        <v>3.3660695771362823</v>
      </c>
      <c r="D20" s="282">
        <f>'Privé - Temps'!C36</f>
        <v>4677.1141659896502</v>
      </c>
      <c r="E20" s="54">
        <f>'Privé&amp;Indirect - ARTM'!$C$8+'Indirect - Villes'!L30+'Indirect - Villes'!T30+'Indirect - Prov. &amp; Féd.'!$C$10+'Indirect - Prov. &amp; Féd.'!$C$8</f>
        <v>2455.1037871592116</v>
      </c>
      <c r="F20" s="54">
        <f>'Caché - Accident'!$C$7+'Caché - Emprise spatiale'!M34+'Caché - Congestion'!$E$13+'Caché - GES'!$C$9</f>
        <v>430.06261876622068</v>
      </c>
      <c r="G20" s="54">
        <f>-'Caché - Santé'!$C$9</f>
        <v>-527.58383061384006</v>
      </c>
      <c r="H20" s="54">
        <f t="shared" ref="H20:H38" si="4">SUM(B20:D20)</f>
        <v>5256.335786337947</v>
      </c>
      <c r="I20" s="54">
        <f t="shared" ref="I20:I38" si="5">SUM(E20:G20)</f>
        <v>2357.5825753115923</v>
      </c>
      <c r="J20" s="54">
        <f t="shared" si="2"/>
        <v>0.4485220638756231</v>
      </c>
      <c r="K20" s="54">
        <f>H20/('Clés de répartition'!G110*2*'Privé - Temps'!$B$11)</f>
        <v>1.0270361710207143</v>
      </c>
      <c r="L20" s="54">
        <f>I20/('Clés de répartition'!G110*2*'Privé - Temps'!$B$11)</f>
        <v>0.46064838310112827</v>
      </c>
      <c r="M20" s="366">
        <f t="shared" si="3"/>
        <v>0.96271661879845971</v>
      </c>
      <c r="N20" s="366">
        <f>'Auto - résumé'!J20/I20</f>
        <v>4.0003159110496576</v>
      </c>
      <c r="O20" s="366">
        <f>'Auto - résumé'!I20/H20</f>
        <v>1.0851918308094155</v>
      </c>
      <c r="P20" s="366">
        <f>('Auto - résumé'!K20+'Auto - résumé'!L20)/('TC - résumé'!J20+'TC - résumé'!K20)</f>
        <v>1.8108660642451446</v>
      </c>
      <c r="S20" s="53"/>
      <c r="T20" s="16"/>
      <c r="V20" s="292"/>
      <c r="W20" s="292"/>
    </row>
    <row r="21" spans="1:23" ht="17">
      <c r="A21" s="66" t="e" vm="17">
        <v>#VALUE!</v>
      </c>
      <c r="B21" s="54">
        <f>'Privé&amp;Indirect - ARTM'!$B$8</f>
        <v>575.85555077116078</v>
      </c>
      <c r="C21" s="54">
        <f>'Caché - Accident'!$C$6</f>
        <v>3.3660695771362823</v>
      </c>
      <c r="D21" s="282">
        <f>'Privé - Temps'!C37</f>
        <v>5021.209949677961</v>
      </c>
      <c r="E21" s="54">
        <f>'Privé&amp;Indirect - ARTM'!$C$8+'Indirect - Villes'!L31+'Indirect - Villes'!T31+'Indirect - Prov. &amp; Féd.'!$C$10+'Indirect - Prov. &amp; Féd.'!$C$8</f>
        <v>2519.925628331629</v>
      </c>
      <c r="F21" s="54">
        <f>'Caché - Accident'!$C$7+'Caché - Emprise spatiale'!M35+'Caché - Congestion'!$E$13+'Caché - GES'!$C$9</f>
        <v>329.66296363823619</v>
      </c>
      <c r="G21" s="54">
        <f>-'Caché - Santé'!$C$9</f>
        <v>-527.58383061384006</v>
      </c>
      <c r="H21" s="54">
        <f t="shared" si="4"/>
        <v>5600.4315700262578</v>
      </c>
      <c r="I21" s="54">
        <f t="shared" si="5"/>
        <v>2322.0047613560255</v>
      </c>
      <c r="J21" s="54">
        <f t="shared" si="2"/>
        <v>0.41461175488394347</v>
      </c>
      <c r="K21" s="54">
        <f>H21/('Clés de répartition'!G111*2*'Privé - Temps'!$B$11)</f>
        <v>0.98420753469290612</v>
      </c>
      <c r="L21" s="54">
        <f>I21/('Clés de répartition'!G111*2*'Privé - Temps'!$B$11)</f>
        <v>0.40806401312902552</v>
      </c>
      <c r="M21" s="366">
        <f t="shared" si="3"/>
        <v>0.94818845205926627</v>
      </c>
      <c r="N21" s="366">
        <f>'Auto - résumé'!J21/I21</f>
        <v>4.1608782364565924</v>
      </c>
      <c r="O21" s="366">
        <f>'Auto - résumé'!I21/H21</f>
        <v>1.0764751247567546</v>
      </c>
      <c r="P21" s="366">
        <f>('Auto - résumé'!K21+'Auto - résumé'!L21)/('TC - résumé'!J21+'TC - résumé'!K21)</f>
        <v>1.8218112846225776</v>
      </c>
      <c r="S21" s="53"/>
      <c r="T21" s="16"/>
      <c r="V21" s="292"/>
      <c r="W21" s="292"/>
    </row>
    <row r="22" spans="1:23">
      <c r="A22" s="87" t="e" vm="18">
        <v>#VALUE!</v>
      </c>
      <c r="B22" s="54">
        <f>'Privé&amp;Indirect - ARTM'!$B$8</f>
        <v>575.85555077116078</v>
      </c>
      <c r="C22" s="54">
        <f>'Caché - Accident'!$C$6</f>
        <v>3.3660695771362823</v>
      </c>
      <c r="D22" s="282">
        <f>'Privé - Temps'!C38</f>
        <v>3824.2513685953727</v>
      </c>
      <c r="E22" s="54">
        <f>'Privé&amp;Indirect - ARTM'!$C$8+'Indirect - Villes'!L32+'Indirect - Villes'!T32+'Indirect - Prov. &amp; Féd.'!$C$10+'Indirect - Prov. &amp; Féd.'!$C$8</f>
        <v>2435.0869498058833</v>
      </c>
      <c r="F22" s="54">
        <f>'Caché - Accident'!$C$7+'Caché - Emprise spatiale'!M36+'Caché - Congestion'!$E$13+'Caché - GES'!$C$9</f>
        <v>365.75322790806354</v>
      </c>
      <c r="G22" s="54">
        <f>-'Caché - Santé'!$C$9</f>
        <v>-527.58383061384006</v>
      </c>
      <c r="H22" s="54">
        <f t="shared" si="4"/>
        <v>4403.4729889436694</v>
      </c>
      <c r="I22" s="54">
        <f t="shared" si="5"/>
        <v>2273.2563471001067</v>
      </c>
      <c r="J22" s="54">
        <f t="shared" si="2"/>
        <v>0.51624169213887439</v>
      </c>
      <c r="K22" s="54">
        <f>H22/('Clés de répartition'!G112*2*'Privé - Temps'!$B$11)</f>
        <v>1.1581574836013477</v>
      </c>
      <c r="L22" s="54">
        <f>I22/('Clés de répartition'!G112*2*'Privé - Temps'!$B$11)</f>
        <v>0.59788917909766037</v>
      </c>
      <c r="M22" s="366">
        <f t="shared" si="3"/>
        <v>0.92828208312199068</v>
      </c>
      <c r="N22" s="366">
        <f>'Auto - résumé'!J22/I22</f>
        <v>3.7567651071853905</v>
      </c>
      <c r="O22" s="366">
        <f>'Auto - résumé'!I22/H22</f>
        <v>1.095029124450613</v>
      </c>
      <c r="P22" s="366">
        <f>('Auto - résumé'!K22+'Auto - résumé'!L22)/('TC - résumé'!J22+'TC - résumé'!K22)</f>
        <v>1.6612232637641071</v>
      </c>
      <c r="S22" s="53"/>
      <c r="T22" s="16"/>
      <c r="V22" s="292"/>
      <c r="W22" s="292"/>
    </row>
    <row r="23" spans="1:23">
      <c r="A23" s="63" t="e" vm="19">
        <v>#VALUE!</v>
      </c>
      <c r="B23" s="54">
        <f>'Privé&amp;Indirect - ARTM'!$B$8</f>
        <v>575.85555077116078</v>
      </c>
      <c r="C23" s="54">
        <f>'Caché - Accident'!$C$6</f>
        <v>3.3660695771362823</v>
      </c>
      <c r="D23" s="282">
        <f>'Privé - Temps'!C39</f>
        <v>6813.3240884105717</v>
      </c>
      <c r="E23" s="54">
        <f>'Privé&amp;Indirect - ARTM'!$C$8+'Indirect - Villes'!L33+'Indirect - Villes'!T33+'Indirect - Prov. &amp; Féd.'!$C$10+'Indirect - Prov. &amp; Féd.'!$C$8</f>
        <v>2542.0644378314214</v>
      </c>
      <c r="F23" s="54">
        <f>'Caché - Accident'!$C$7+'Caché - Emprise spatiale'!M37+'Caché - Congestion'!$E$13+'Caché - GES'!$C$9</f>
        <v>179.55314611174384</v>
      </c>
      <c r="G23" s="54">
        <f>-'Caché - Santé'!$C$9</f>
        <v>-527.58383061384006</v>
      </c>
      <c r="H23" s="54">
        <f t="shared" si="4"/>
        <v>7392.5457087588684</v>
      </c>
      <c r="I23" s="54">
        <f t="shared" si="5"/>
        <v>2194.033753329325</v>
      </c>
      <c r="J23" s="54">
        <f t="shared" si="2"/>
        <v>0.29679001520812787</v>
      </c>
      <c r="K23" s="54">
        <f>H23/('Clés de répartition'!G113*2*'Privé - Temps'!$B$11)</f>
        <v>0.81626896857841424</v>
      </c>
      <c r="L23" s="54">
        <f>I23/('Clés de répartition'!G113*2*'Privé - Temps'!$B$11)</f>
        <v>0.24226047959831043</v>
      </c>
      <c r="M23" s="366">
        <f t="shared" si="3"/>
        <v>0.89593161175096325</v>
      </c>
      <c r="N23" s="366">
        <f>'Auto - résumé'!J23/I23</f>
        <v>3.6269957445864809</v>
      </c>
      <c r="O23" s="366">
        <f>'Auto - résumé'!I23/H23</f>
        <v>1.185009487723494</v>
      </c>
      <c r="P23" s="366">
        <f>('Auto - résumé'!K23+'Auto - résumé'!L23)/('TC - résumé'!J23+'TC - résumé'!K23)</f>
        <v>1.6978150755540007</v>
      </c>
      <c r="S23" s="53"/>
      <c r="T23" s="16"/>
      <c r="V23" s="292"/>
      <c r="W23" s="292"/>
    </row>
    <row r="24" spans="1:23">
      <c r="A24" s="63" t="e" vm="20">
        <v>#VALUE!</v>
      </c>
      <c r="B24" s="54">
        <f>'Privé&amp;Indirect - ARTM'!$B$8</f>
        <v>575.85555077116078</v>
      </c>
      <c r="C24" s="54">
        <f>'Caché - Accident'!$C$6</f>
        <v>3.3660695771362823</v>
      </c>
      <c r="D24" s="282">
        <f>'Privé - Temps'!C40</f>
        <v>5213.1686654181285</v>
      </c>
      <c r="E24" s="54">
        <f>'Privé&amp;Indirect - ARTM'!$C$8+'Indirect - Villes'!L34+'Indirect - Villes'!T34+'Indirect - Prov. &amp; Féd.'!$C$10+'Indirect - Prov. &amp; Féd.'!$C$8</f>
        <v>2518.1799108885639</v>
      </c>
      <c r="F24" s="54">
        <f>'Caché - Accident'!$C$7+'Caché - Emprise spatiale'!M38+'Caché - Congestion'!$E$13+'Caché - GES'!$C$9</f>
        <v>323.67344660771244</v>
      </c>
      <c r="G24" s="54">
        <f>-'Caché - Santé'!$C$9</f>
        <v>-527.58383061384006</v>
      </c>
      <c r="H24" s="54">
        <f t="shared" si="4"/>
        <v>5792.3902857664252</v>
      </c>
      <c r="I24" s="54">
        <f t="shared" si="5"/>
        <v>2314.2695268824364</v>
      </c>
      <c r="J24" s="54">
        <f t="shared" si="2"/>
        <v>0.39953618673956837</v>
      </c>
      <c r="K24" s="54">
        <f>H24/('Clés de répartition'!G114*2*'Privé - Temps'!$B$11)</f>
        <v>0.99099129346515591</v>
      </c>
      <c r="L24" s="54">
        <f>I24/('Clés de répartition'!G114*2*'Privé - Temps'!$B$11)</f>
        <v>0.39593688248318093</v>
      </c>
      <c r="M24" s="366">
        <f t="shared" si="3"/>
        <v>0.94502977636493013</v>
      </c>
      <c r="N24" s="366">
        <f>'Auto - résumé'!J24/I24</f>
        <v>3.7899030792990063</v>
      </c>
      <c r="O24" s="366">
        <f>'Auto - résumé'!I24/H24</f>
        <v>1.0642592681134075</v>
      </c>
      <c r="P24" s="366">
        <f>('Auto - résumé'!K24+'Auto - résumé'!L24)/('TC - résumé'!J24+'TC - résumé'!K24)</f>
        <v>1.7004647871400311</v>
      </c>
      <c r="S24" s="53"/>
      <c r="T24" s="16"/>
      <c r="V24" s="292"/>
      <c r="W24" s="292"/>
    </row>
    <row r="25" spans="1:23" ht="17">
      <c r="A25" s="66" t="e" vm="21">
        <v>#VALUE!</v>
      </c>
      <c r="B25" s="54">
        <f>'Privé&amp;Indirect - ARTM'!$B$8</f>
        <v>575.85555077116078</v>
      </c>
      <c r="C25" s="54">
        <f>'Caché - Accident'!$C$6</f>
        <v>3.3660695771362823</v>
      </c>
      <c r="D25" s="282">
        <f>'Privé - Temps'!C41</f>
        <v>5136.4022003921427</v>
      </c>
      <c r="E25" s="54">
        <f>'Privé&amp;Indirect - ARTM'!$C$8+'Indirect - Villes'!L35+'Indirect - Villes'!T35+'Indirect - Prov. &amp; Féd.'!$C$10+'Indirect - Prov. &amp; Féd.'!$C$8</f>
        <v>2505.3394245932059</v>
      </c>
      <c r="F25" s="54">
        <f>'Caché - Accident'!$C$7+'Caché - Emprise spatiale'!M39+'Caché - Congestion'!$E$13+'Caché - GES'!$C$9</f>
        <v>335.57056689583669</v>
      </c>
      <c r="G25" s="54">
        <f>-'Caché - Santé'!$C$9</f>
        <v>-527.58383061384006</v>
      </c>
      <c r="H25" s="54">
        <f t="shared" si="4"/>
        <v>5715.6238207404394</v>
      </c>
      <c r="I25" s="54">
        <f t="shared" si="5"/>
        <v>2313.3261608752027</v>
      </c>
      <c r="J25" s="54">
        <f t="shared" si="2"/>
        <v>0.40473730137395908</v>
      </c>
      <c r="K25" s="54">
        <f>H25/('Clés de répartition'!G115*2*'Privé - Temps'!$B$11)</f>
        <v>0.94254991791600506</v>
      </c>
      <c r="L25" s="54">
        <f>I25/('Clés de répartition'!G115*2*'Privé - Temps'!$B$11)</f>
        <v>0.38148511018757053</v>
      </c>
      <c r="M25" s="366">
        <f t="shared" si="3"/>
        <v>0.94464455374652267</v>
      </c>
      <c r="N25" s="366">
        <f>'Auto - résumé'!J25/I25</f>
        <v>3.7107222168692644</v>
      </c>
      <c r="O25" s="366">
        <f>'Auto - résumé'!I25/H25</f>
        <v>0.95831608913192323</v>
      </c>
      <c r="P25" s="366">
        <f>('Auto - résumé'!K25+'Auto - résumé'!L25)/('TC - résumé'!J25+'TC - résumé'!K25)</f>
        <v>1.8216459221331758</v>
      </c>
      <c r="R25" s="54"/>
      <c r="S25" s="53"/>
      <c r="T25" s="16"/>
      <c r="V25" s="292"/>
      <c r="W25" s="292"/>
    </row>
    <row r="26" spans="1:23">
      <c r="A26" s="63" t="e" vm="22">
        <v>#VALUE!</v>
      </c>
      <c r="B26" s="54">
        <f>'Privé&amp;Indirect - ARTM'!$B$8</f>
        <v>575.85555077116078</v>
      </c>
      <c r="C26" s="54">
        <f>'Caché - Accident'!$C$6</f>
        <v>3.3660695771362823</v>
      </c>
      <c r="D26" s="282">
        <f>'Privé - Temps'!C42</f>
        <v>4313.7528133915603</v>
      </c>
      <c r="E26" s="54">
        <f>'Privé&amp;Indirect - ARTM'!$C$8+'Indirect - Villes'!L36+'Indirect - Villes'!T36+'Indirect - Prov. &amp; Féd.'!$C$10+'Indirect - Prov. &amp; Féd.'!$C$8</f>
        <v>2436.8636690360845</v>
      </c>
      <c r="F26" s="54">
        <f>'Caché - Accident'!$C$7+'Caché - Emprise spatiale'!M40+'Caché - Congestion'!$E$13+'Caché - GES'!$C$9</f>
        <v>344.2283328667454</v>
      </c>
      <c r="G26" s="54">
        <f>-'Caché - Santé'!$C$9</f>
        <v>-527.58383061384006</v>
      </c>
      <c r="H26" s="54">
        <f t="shared" si="4"/>
        <v>4892.974433739857</v>
      </c>
      <c r="I26" s="54">
        <f t="shared" si="5"/>
        <v>2253.5081712889896</v>
      </c>
      <c r="J26" s="54">
        <f t="shared" si="2"/>
        <v>0.46055997263132259</v>
      </c>
      <c r="K26" s="54">
        <f>H26/('Clés de répartition'!G116*2*'Privé - Temps'!$B$11)</f>
        <v>0.99236138228591131</v>
      </c>
      <c r="L26" s="54">
        <f>I26/('Clés de répartition'!G116*2*'Privé - Temps'!$B$11)</f>
        <v>0.45704193106598079</v>
      </c>
      <c r="M26" s="366">
        <f t="shared" si="3"/>
        <v>0.92021793417407804</v>
      </c>
      <c r="N26" s="366">
        <f>'Auto - résumé'!J26/I26</f>
        <v>4.0485682853819913</v>
      </c>
      <c r="O26" s="366">
        <f>'Auto - résumé'!I26/H26</f>
        <v>1.138354813166697</v>
      </c>
      <c r="P26" s="366">
        <f>('Auto - résumé'!K26+'Auto - résumé'!L26)/('TC - résumé'!J26+'TC - résumé'!K26)</f>
        <v>1.7942027536298255</v>
      </c>
      <c r="S26" s="53"/>
      <c r="T26" s="16"/>
      <c r="V26" s="292"/>
      <c r="W26" s="292"/>
    </row>
    <row r="27" spans="1:23">
      <c r="A27" s="63" t="e" vm="23">
        <v>#VALUE!</v>
      </c>
      <c r="B27" s="54">
        <f>'Privé&amp;Indirect - ARTM'!$B$8</f>
        <v>575.85555077116078</v>
      </c>
      <c r="C27" s="54">
        <f>'Caché - Accident'!$C$6</f>
        <v>3.3660695771362823</v>
      </c>
      <c r="D27" s="282">
        <f>'Privé - Temps'!C43</f>
        <v>5268.9176931840393</v>
      </c>
      <c r="E27" s="54">
        <f>'Privé&amp;Indirect - ARTM'!$C$8+'Indirect - Villes'!L37+'Indirect - Villes'!T37+'Indirect - Prov. &amp; Féd.'!$C$10+'Indirect - Prov. &amp; Féd.'!$C$8</f>
        <v>2460.2320403006584</v>
      </c>
      <c r="F27" s="54">
        <f>'Caché - Accident'!$C$7+'Caché - Emprise spatiale'!M41+'Caché - Congestion'!$E$13+'Caché - GES'!$C$9</f>
        <v>309.46325106061511</v>
      </c>
      <c r="G27" s="54">
        <f>-'Caché - Santé'!$C$9</f>
        <v>-527.58383061384006</v>
      </c>
      <c r="H27" s="54">
        <f t="shared" si="4"/>
        <v>5848.139313532336</v>
      </c>
      <c r="I27" s="54">
        <f t="shared" si="5"/>
        <v>2242.1114607474337</v>
      </c>
      <c r="J27" s="54">
        <f t="shared" si="2"/>
        <v>0.38338885935211681</v>
      </c>
      <c r="K27" s="54">
        <f>H27/('Clés de répartition'!G117*2*'Privé - Temps'!$B$11)</f>
        <v>1.049083676517905</v>
      </c>
      <c r="L27" s="54">
        <f>I27/('Clés de répartition'!G117*2*'Privé - Temps'!$B$11)</f>
        <v>0.40220699410512467</v>
      </c>
      <c r="M27" s="366">
        <f t="shared" si="3"/>
        <v>0.91556409818424367</v>
      </c>
      <c r="N27" s="366">
        <f>'Auto - résumé'!J27/I27</f>
        <v>3.9170035073689182</v>
      </c>
      <c r="O27" s="366">
        <f>'Auto - résumé'!I27/H27</f>
        <v>0.97886482404172859</v>
      </c>
      <c r="P27" s="366">
        <f>('Auto - résumé'!K27+'Auto - résumé'!L27)/('TC - résumé'!J27+'TC - résumé'!K27)</f>
        <v>1.7782169303172011</v>
      </c>
      <c r="R27" s="54"/>
      <c r="S27" s="53"/>
      <c r="T27" s="16"/>
      <c r="V27" s="292"/>
      <c r="W27" s="292"/>
    </row>
    <row r="28" spans="1:23">
      <c r="A28" s="63" t="e" vm="24">
        <v>#VALUE!</v>
      </c>
      <c r="B28" s="54">
        <f>'Privé&amp;Indirect - ARTM'!$B$8</f>
        <v>575.85555077116078</v>
      </c>
      <c r="C28" s="54">
        <f>'Caché - Accident'!$C$6</f>
        <v>3.3660695771362823</v>
      </c>
      <c r="D28" s="282">
        <f>'Privé - Temps'!C44</f>
        <v>3198.6415029045047</v>
      </c>
      <c r="E28" s="54">
        <f>'Privé&amp;Indirect - ARTM'!$C$8+'Indirect - Villes'!L38+'Indirect - Villes'!T38+'Indirect - Prov. &amp; Féd.'!$C$10+'Indirect - Prov. &amp; Féd.'!$C$8</f>
        <v>2459.616640847576</v>
      </c>
      <c r="F28" s="54">
        <f>'Caché - Accident'!$C$7+'Caché - Emprise spatiale'!M42+'Caché - Congestion'!$E$13+'Caché - GES'!$C$9</f>
        <v>692.21242954866943</v>
      </c>
      <c r="G28" s="54">
        <f>-'Caché - Santé'!$C$9</f>
        <v>-527.58383061384006</v>
      </c>
      <c r="H28" s="54">
        <f t="shared" si="4"/>
        <v>3777.8631232528019</v>
      </c>
      <c r="I28" s="54">
        <f t="shared" si="5"/>
        <v>2624.2452397824054</v>
      </c>
      <c r="J28" s="54">
        <f t="shared" si="2"/>
        <v>0.69463745884019412</v>
      </c>
      <c r="K28" s="54">
        <f>H28/('Clés de répartition'!G118*2*'Privé - Temps'!$B$11)</f>
        <v>1.4286749822779325</v>
      </c>
      <c r="L28" s="54">
        <f>I28/('Clés de répartition'!G118*2*'Privé - Temps'!$B$11)</f>
        <v>0.99241115919810241</v>
      </c>
      <c r="M28" s="366">
        <f t="shared" si="3"/>
        <v>1.0716080660747866</v>
      </c>
      <c r="N28" s="366">
        <f>'Auto - résumé'!J28/I28</f>
        <v>4.2761936492310779</v>
      </c>
      <c r="O28" s="366">
        <f>'Auto - résumé'!I28/H28</f>
        <v>1.3097812962245183</v>
      </c>
      <c r="P28" s="366">
        <f>('Auto - résumé'!K28+'Auto - résumé'!L28)/('TC - résumé'!J28+'TC - résumé'!K28)</f>
        <v>1.62724062505058</v>
      </c>
      <c r="Q28" t="s">
        <v>632</v>
      </c>
      <c r="S28" s="53"/>
      <c r="T28" s="16"/>
      <c r="V28" s="292"/>
      <c r="W28" s="292"/>
    </row>
    <row r="29" spans="1:23">
      <c r="A29" s="63" t="e" vm="25">
        <v>#VALUE!</v>
      </c>
      <c r="B29" s="54">
        <f>'Privé&amp;Indirect - ARTM'!$B$8</f>
        <v>575.85555077116078</v>
      </c>
      <c r="C29" s="54">
        <f>'Caché - Accident'!$C$6</f>
        <v>3.3660695771362823</v>
      </c>
      <c r="D29" s="282">
        <f>'Privé - Temps'!C45</f>
        <v>7078.6535396639065</v>
      </c>
      <c r="E29" s="54">
        <f>'Privé&amp;Indirect - ARTM'!$C$8+'Indirect - Villes'!L39+'Indirect - Villes'!T39+'Indirect - Prov. &amp; Féd.'!$C$10+'Indirect - Prov. &amp; Féd.'!$C$8</f>
        <v>2499.3916092355498</v>
      </c>
      <c r="F29" s="54">
        <f>'Caché - Accident'!$C$7+'Caché - Emprise spatiale'!M43+'Caché - Congestion'!$E$13+'Caché - GES'!$C$9</f>
        <v>226.09117341310446</v>
      </c>
      <c r="G29" s="54">
        <f>-'Caché - Santé'!$C$9</f>
        <v>-527.58383061384006</v>
      </c>
      <c r="H29" s="54">
        <f t="shared" si="4"/>
        <v>7657.8751600122032</v>
      </c>
      <c r="I29" s="54">
        <f t="shared" si="5"/>
        <v>2197.8989520348141</v>
      </c>
      <c r="J29" s="54">
        <f t="shared" si="2"/>
        <v>0.28701159343936233</v>
      </c>
      <c r="K29" s="54">
        <f>H29/('Clés de répartition'!G119*2*'Privé - Temps'!$B$11)</f>
        <v>0.84329322070777535</v>
      </c>
      <c r="L29" s="54">
        <f>I29/('Clés de répartition'!G119*2*'Privé - Temps'!$B$11)</f>
        <v>0.24203493101195045</v>
      </c>
      <c r="M29" s="366">
        <f t="shared" si="3"/>
        <v>0.89750996199315602</v>
      </c>
      <c r="N29" s="366">
        <f>'Auto - résumé'!J29/I29</f>
        <v>3.7707217118731058</v>
      </c>
      <c r="O29" s="366">
        <f>'Auto - résumé'!I29/H29</f>
        <v>0.94815649337005448</v>
      </c>
      <c r="P29" s="366">
        <f>('Auto - résumé'!K29+'Auto - résumé'!L29)/('TC - résumé'!J29+'TC - résumé'!K29)</f>
        <v>1.8330864452775981</v>
      </c>
      <c r="R29" s="53"/>
      <c r="S29" s="53"/>
      <c r="T29" s="16"/>
      <c r="V29" s="292"/>
      <c r="W29" s="292"/>
    </row>
    <row r="30" spans="1:23">
      <c r="A30" s="63" t="e" vm="26">
        <v>#VALUE!</v>
      </c>
      <c r="B30" s="54">
        <f>'Privé&amp;Indirect - ARTM'!$B$8</f>
        <v>575.85555077116078</v>
      </c>
      <c r="C30" s="54">
        <f>'Caché - Accident'!$C$6</f>
        <v>3.3660695771362823</v>
      </c>
      <c r="D30" s="282">
        <f>'Privé - Temps'!C46</f>
        <v>3573.8375171197886</v>
      </c>
      <c r="E30" s="54">
        <f>'Privé&amp;Indirect - ARTM'!$C$8+'Indirect - Villes'!L40+'Indirect - Villes'!T40+'Indirect - Prov. &amp; Féd.'!$C$10+'Indirect - Prov. &amp; Féd.'!$C$8</f>
        <v>2436.7190073709448</v>
      </c>
      <c r="F30" s="54">
        <f>'Caché - Accident'!$C$7+'Caché - Emprise spatiale'!M44+'Caché - Congestion'!$E$13+'Caché - GES'!$C$9</f>
        <v>695.23775021757194</v>
      </c>
      <c r="G30" s="54">
        <f>-'Caché - Santé'!$C$9</f>
        <v>-527.58383061384006</v>
      </c>
      <c r="H30" s="54">
        <f t="shared" si="4"/>
        <v>4153.0591374680853</v>
      </c>
      <c r="I30" s="54">
        <f t="shared" si="5"/>
        <v>2604.3729269746764</v>
      </c>
      <c r="J30" s="54">
        <f t="shared" si="2"/>
        <v>0.62709748182455061</v>
      </c>
      <c r="K30" s="54">
        <f>H30/('Clés de répartition'!G120*2*'Privé - Temps'!$B$11)</f>
        <v>1.2504990146186012</v>
      </c>
      <c r="L30" s="54">
        <f>I30/('Clés de répartition'!G120*2*'Privé - Temps'!$B$11)</f>
        <v>0.78418478309140682</v>
      </c>
      <c r="M30" s="366">
        <f t="shared" si="3"/>
        <v>1.0634932259015071</v>
      </c>
      <c r="N30" s="366">
        <f>'Auto - résumé'!J30/I30</f>
        <v>4.5894297982565586</v>
      </c>
      <c r="O30" s="366">
        <f>'Auto - résumé'!I30/H30</f>
        <v>1.3249296447339256</v>
      </c>
      <c r="P30" s="366">
        <f>('Auto - résumé'!K30+'Auto - résumé'!L30)/('TC - résumé'!J30+'TC - résumé'!K30)</f>
        <v>1.7060813538507908</v>
      </c>
      <c r="Q30" t="s">
        <v>632</v>
      </c>
      <c r="S30" s="53"/>
      <c r="T30" s="16"/>
      <c r="V30" s="292"/>
      <c r="W30" s="292"/>
    </row>
    <row r="31" spans="1:23">
      <c r="A31" s="63" t="e" vm="27">
        <v>#VALUE!</v>
      </c>
      <c r="B31" s="54">
        <f>'Privé&amp;Indirect - ARTM'!$B$8</f>
        <v>575.85555077116078</v>
      </c>
      <c r="C31" s="54">
        <f>'Caché - Accident'!$C$6</f>
        <v>3.3660695771362823</v>
      </c>
      <c r="D31" s="282">
        <f>'Privé - Temps'!C47</f>
        <v>5977.7280303818825</v>
      </c>
      <c r="E31" s="54">
        <f>'Privé&amp;Indirect - ARTM'!$C$8+'Indirect - Villes'!L41+'Indirect - Villes'!T41+'Indirect - Prov. &amp; Féd.'!$C$10+'Indirect - Prov. &amp; Féd.'!$C$8</f>
        <v>2489.0642318122514</v>
      </c>
      <c r="F31" s="54">
        <f>'Caché - Accident'!$C$7+'Caché - Emprise spatiale'!M45+'Caché - Congestion'!$E$13+'Caché - GES'!$C$9</f>
        <v>278.6377652900677</v>
      </c>
      <c r="G31" s="54">
        <f>-'Caché - Santé'!$C$9</f>
        <v>-527.58383061384006</v>
      </c>
      <c r="H31" s="54">
        <f t="shared" si="4"/>
        <v>6556.9496507301792</v>
      </c>
      <c r="I31" s="54">
        <f t="shared" si="5"/>
        <v>2240.1181664884789</v>
      </c>
      <c r="J31" s="54">
        <f t="shared" si="2"/>
        <v>0.34164028791025114</v>
      </c>
      <c r="K31" s="54">
        <f>H31/('Clés de répartition'!G121*2*'Privé - Temps'!$B$11)</f>
        <v>0.88667271211028842</v>
      </c>
      <c r="L31" s="54">
        <f>I31/('Clés de répartition'!G121*2*'Privé - Temps'!$B$11)</f>
        <v>0.30292312064752214</v>
      </c>
      <c r="M31" s="366">
        <f t="shared" si="3"/>
        <v>0.91475013835549934</v>
      </c>
      <c r="N31" s="366">
        <f>'Auto - résumé'!J31/I31</f>
        <v>4.123015724116037</v>
      </c>
      <c r="O31" s="366">
        <f>'Auto - résumé'!I31/H31</f>
        <v>1.1399133839247202</v>
      </c>
      <c r="P31" s="366">
        <f>('Auto - résumé'!K31+'Auto - résumé'!L31)/('TC - résumé'!J31+'TC - résumé'!K31)</f>
        <v>1.7570704302125812</v>
      </c>
      <c r="S31" s="53"/>
      <c r="T31" s="16"/>
      <c r="V31" s="292"/>
      <c r="W31" s="292"/>
    </row>
    <row r="32" spans="1:23">
      <c r="A32" s="63" t="e" vm="28">
        <v>#VALUE!</v>
      </c>
      <c r="B32" s="54">
        <f>'Privé&amp;Indirect - ARTM'!$B$8</f>
        <v>575.85555077116078</v>
      </c>
      <c r="C32" s="54">
        <f>'Caché - Accident'!$C$6</f>
        <v>3.3660695771362823</v>
      </c>
      <c r="D32" s="282">
        <f>'Privé - Temps'!C48</f>
        <v>4020.5161441120663</v>
      </c>
      <c r="E32" s="54">
        <f>'Privé&amp;Indirect - ARTM'!$C$8+'Indirect - Villes'!L42+'Indirect - Villes'!T42+'Indirect - Prov. &amp; Féd.'!$C$10+'Indirect - Prov. &amp; Féd.'!$C$8</f>
        <v>2439.9007498529991</v>
      </c>
      <c r="F32" s="54">
        <f>'Caché - Accident'!$C$7+'Caché - Emprise spatiale'!M46+'Caché - Congestion'!$E$13+'Caché - GES'!$C$9</f>
        <v>558.4142765223603</v>
      </c>
      <c r="G32" s="54">
        <f>-'Caché - Santé'!$C$9</f>
        <v>-527.58383061384006</v>
      </c>
      <c r="H32" s="54">
        <f t="shared" si="4"/>
        <v>4599.737764460363</v>
      </c>
      <c r="I32" s="54">
        <f t="shared" si="5"/>
        <v>2470.7311957615193</v>
      </c>
      <c r="J32" s="54">
        <f t="shared" si="2"/>
        <v>0.53714609881708841</v>
      </c>
      <c r="K32" s="54">
        <f>H32/('Clés de répartition'!G122*2*'Privé - Temps'!$B$11)</f>
        <v>1.1970131660171848</v>
      </c>
      <c r="L32" s="54">
        <f>I32/('Clés de répartition'!G122*2*'Privé - Temps'!$B$11)</f>
        <v>0.64297095235882262</v>
      </c>
      <c r="M32" s="366">
        <f t="shared" si="3"/>
        <v>1.0089207511338318</v>
      </c>
      <c r="N32" s="366">
        <f>'Auto - résumé'!J32/I32</f>
        <v>4.134456791942875</v>
      </c>
      <c r="O32" s="366">
        <f>'Auto - résumé'!I32/H32</f>
        <v>1.1815524932366022</v>
      </c>
      <c r="P32" s="366">
        <f>('Auto - résumé'!K32+'Auto - résumé'!L32)/('TC - résumé'!J32+'TC - résumé'!K32)</f>
        <v>1.6832234750921264</v>
      </c>
      <c r="S32" s="53"/>
      <c r="T32" s="16"/>
      <c r="V32" s="292"/>
      <c r="W32" s="292"/>
    </row>
    <row r="33" spans="1:23">
      <c r="A33" s="63" t="e" vm="29">
        <v>#VALUE!</v>
      </c>
      <c r="B33" s="54">
        <f>'Privé&amp;Indirect - ARTM'!$B$8</f>
        <v>575.85555077116078</v>
      </c>
      <c r="C33" s="54">
        <f>'Caché - Accident'!$C$6</f>
        <v>3.3660695771362823</v>
      </c>
      <c r="D33" s="282">
        <f>'Privé - Temps'!C49</f>
        <v>4781.423498403954</v>
      </c>
      <c r="E33" s="54">
        <f>'Privé&amp;Indirect - ARTM'!$C$8+'Indirect - Villes'!L43+'Indirect - Villes'!T43+'Indirect - Prov. &amp; Féd.'!$C$10+'Indirect - Prov. &amp; Féd.'!$C$8</f>
        <v>2505.1574381442852</v>
      </c>
      <c r="F33" s="54">
        <f>'Caché - Accident'!$C$7+'Caché - Emprise spatiale'!M47+'Caché - Congestion'!$E$13+'Caché - GES'!$C$9</f>
        <v>315.9449795317247</v>
      </c>
      <c r="G33" s="54">
        <f>-'Caché - Santé'!$C$9</f>
        <v>-527.58383061384006</v>
      </c>
      <c r="H33" s="54">
        <f t="shared" si="4"/>
        <v>5360.6451187522507</v>
      </c>
      <c r="I33" s="54">
        <f t="shared" si="5"/>
        <v>2293.5185870621699</v>
      </c>
      <c r="J33" s="54">
        <f t="shared" si="2"/>
        <v>0.42784376437066063</v>
      </c>
      <c r="K33" s="54">
        <f>H33/('Clés de répartition'!G123*2*'Privé - Temps'!$B$11)</f>
        <v>1.0085964623317036</v>
      </c>
      <c r="L33" s="54">
        <f>I33/('Clés de répartition'!G123*2*'Privé - Temps'!$B$11)</f>
        <v>0.43152170717492727</v>
      </c>
      <c r="M33" s="366">
        <f t="shared" si="3"/>
        <v>0.9365561496806063</v>
      </c>
      <c r="N33" s="366">
        <f>'Auto - résumé'!J33/I33</f>
        <v>3.8118263090067264</v>
      </c>
      <c r="O33" s="366">
        <f>'Auto - résumé'!I33/H33</f>
        <v>1.0527401171219739</v>
      </c>
      <c r="P33" s="366">
        <f>('Auto - résumé'!K33+'Auto - résumé'!L33)/('TC - résumé'!J33+'TC - résumé'!K33)</f>
        <v>1.7809782499608864</v>
      </c>
      <c r="S33" s="53"/>
      <c r="T33" s="16"/>
      <c r="V33" s="292"/>
      <c r="W33" s="292"/>
    </row>
    <row r="34" spans="1:23">
      <c r="A34" s="63" t="e" vm="30">
        <v>#VALUE!</v>
      </c>
      <c r="B34" s="54">
        <f>'Privé&amp;Indirect - ARTM'!$B$8</f>
        <v>575.85555077116078</v>
      </c>
      <c r="C34" s="54">
        <f>'Caché - Accident'!$C$6</f>
        <v>3.3660695771362823</v>
      </c>
      <c r="D34" s="282">
        <f>'Privé - Temps'!C50</f>
        <v>4795.9303343690781</v>
      </c>
      <c r="E34" s="54">
        <f>'Privé&amp;Indirect - ARTM'!$C$8+'Indirect - Villes'!L44+'Indirect - Villes'!T44+'Indirect - Prov. &amp; Féd.'!$C$10+'Indirect - Prov. &amp; Féd.'!$C$8</f>
        <v>2473.4314133668904</v>
      </c>
      <c r="F34" s="54">
        <f>'Caché - Accident'!$C$7+'Caché - Emprise spatiale'!M48+'Caché - Congestion'!$E$13+'Caché - GES'!$C$9</f>
        <v>360.1908775503066</v>
      </c>
      <c r="G34" s="54">
        <f>-'Caché - Santé'!$C$9</f>
        <v>-527.58383061384006</v>
      </c>
      <c r="H34" s="54">
        <f t="shared" si="4"/>
        <v>5375.1519547173748</v>
      </c>
      <c r="I34" s="54">
        <f t="shared" si="5"/>
        <v>2306.0384603033572</v>
      </c>
      <c r="J34" s="54">
        <f t="shared" si="2"/>
        <v>0.42901828259562358</v>
      </c>
      <c r="K34" s="54">
        <f>H34/('Clés de répartition'!G124*2*'Privé - Temps'!$B$11)</f>
        <v>1.172710885796536</v>
      </c>
      <c r="L34" s="54">
        <f>I34/('Clés de répartition'!G124*2*'Privé - Temps'!$B$11)</f>
        <v>0.50311441020562231</v>
      </c>
      <c r="M34" s="366">
        <f t="shared" si="3"/>
        <v>0.94166862809843999</v>
      </c>
      <c r="N34" s="366">
        <f>'Auto - résumé'!J34/I34</f>
        <v>4.0522622733287124</v>
      </c>
      <c r="O34" s="366">
        <f>'Auto - résumé'!I34/H34</f>
        <v>1.025256653889</v>
      </c>
      <c r="P34" s="366">
        <f>('Auto - résumé'!K34+'Auto - résumé'!L34)/('TC - résumé'!J34+'TC - résumé'!K34)</f>
        <v>1.6830212095778785</v>
      </c>
      <c r="S34" s="53"/>
      <c r="T34" s="16"/>
      <c r="V34" s="292"/>
      <c r="W34" s="292"/>
    </row>
    <row r="35" spans="1:23">
      <c r="A35" s="63" t="e" vm="31">
        <v>#VALUE!</v>
      </c>
      <c r="B35" s="54">
        <f>'Privé&amp;Indirect - ARTM'!$B$8</f>
        <v>575.85555077116078</v>
      </c>
      <c r="C35" s="54">
        <f>'Caché - Accident'!$C$6</f>
        <v>3.3660695771362823</v>
      </c>
      <c r="D35" s="282">
        <f>'Privé - Temps'!C51</f>
        <v>3704.4488864246619</v>
      </c>
      <c r="E35" s="54">
        <f>'Privé&amp;Indirect - ARTM'!$C$8+'Indirect - Villes'!L45+'Indirect - Villes'!T45+'Indirect - Prov. &amp; Féd.'!$C$10+'Indirect - Prov. &amp; Féd.'!$C$8</f>
        <v>2484.6154179788828</v>
      </c>
      <c r="F35" s="54">
        <f>'Caché - Accident'!$C$7+'Caché - Emprise spatiale'!M49+'Caché - Congestion'!$E$13+'Caché - GES'!$C$9</f>
        <v>396.40505965827344</v>
      </c>
      <c r="G35" s="54">
        <f>-'Caché - Santé'!$C$9</f>
        <v>-527.58383061384006</v>
      </c>
      <c r="H35" s="54">
        <f t="shared" si="4"/>
        <v>4283.670506772959</v>
      </c>
      <c r="I35" s="54">
        <f t="shared" si="5"/>
        <v>2353.4366470233163</v>
      </c>
      <c r="J35" s="54">
        <f t="shared" si="2"/>
        <v>0.54939721514581275</v>
      </c>
      <c r="K35" s="54">
        <f>H35/('Clés de répartition'!G125*2*'Privé - Temps'!$B$11)</f>
        <v>1.0592379950632587</v>
      </c>
      <c r="L35" s="54">
        <f>I35/('Clés de répartition'!G125*2*'Privé - Temps'!$B$11)</f>
        <v>0.58194240466438851</v>
      </c>
      <c r="M35" s="366">
        <f t="shared" si="3"/>
        <v>0.96102363289617698</v>
      </c>
      <c r="N35" s="366">
        <f>'Auto - résumé'!J35/I35</f>
        <v>3.8222975589535979</v>
      </c>
      <c r="O35" s="366">
        <f>'Auto - résumé'!I35/H35</f>
        <v>1.3205038415040302</v>
      </c>
      <c r="P35" s="366">
        <f>('Auto - résumé'!K35+'Auto - résumé'!L35)/('TC - résumé'!J35+'TC - résumé'!K35)</f>
        <v>1.5428779781906057</v>
      </c>
      <c r="S35" s="53"/>
      <c r="T35" s="16"/>
      <c r="V35" s="292"/>
      <c r="W35" s="292"/>
    </row>
    <row r="36" spans="1:23">
      <c r="A36" s="63" t="e" vm="32">
        <v>#VALUE!</v>
      </c>
      <c r="B36" s="54">
        <f>'Privé&amp;Indirect - ARTM'!$B$8</f>
        <v>575.85555077116078</v>
      </c>
      <c r="C36" s="54">
        <f>'Caché - Accident'!$C$6</f>
        <v>3.3660695771362823</v>
      </c>
      <c r="D36" s="282">
        <f>'Privé - Temps'!C52</f>
        <v>4332.1273569914783</v>
      </c>
      <c r="E36" s="54">
        <f>'Privé&amp;Indirect - ARTM'!$C$8+'Indirect - Villes'!L46+'Indirect - Villes'!T46+'Indirect - Prov. &amp; Féd.'!$C$10+'Indirect - Prov. &amp; Féd.'!$C$8</f>
        <v>2442.6059360012046</v>
      </c>
      <c r="F36" s="54">
        <f>'Caché - Accident'!$C$7+'Caché - Emprise spatiale'!M50+'Caché - Congestion'!$E$13+'Caché - GES'!$C$9</f>
        <v>392.10057610731837</v>
      </c>
      <c r="G36" s="54">
        <f>-'Caché - Santé'!$C$9</f>
        <v>-527.58383061384006</v>
      </c>
      <c r="H36" s="54">
        <f t="shared" si="4"/>
        <v>4911.348977339775</v>
      </c>
      <c r="I36" s="54">
        <f t="shared" si="5"/>
        <v>2307.1226814946831</v>
      </c>
      <c r="J36" s="54">
        <f t="shared" si="2"/>
        <v>0.46975335944144875</v>
      </c>
      <c r="K36" s="54">
        <f>H36/('Clés de répartition'!G126*2*'Privé - Temps'!$B$11)</f>
        <v>1.0142687039455363</v>
      </c>
      <c r="L36" s="54">
        <f>I36/('Clés de répartition'!G126*2*'Privé - Temps'!$B$11)</f>
        <v>0.47645613105473988</v>
      </c>
      <c r="M36" s="366">
        <f t="shared" si="3"/>
        <v>0.94211136879828794</v>
      </c>
      <c r="N36" s="366">
        <f>'Auto - résumé'!J36/I36</f>
        <v>3.9681302364036117</v>
      </c>
      <c r="O36" s="366">
        <f>'Auto - résumé'!I36/H36</f>
        <v>1.2662437145382681</v>
      </c>
      <c r="P36" s="366">
        <f>('Auto - résumé'!K36+'Auto - résumé'!L36)/('TC - résumé'!J36+'TC - résumé'!K36)</f>
        <v>1.6162737593294998</v>
      </c>
      <c r="S36" s="53"/>
      <c r="T36" s="16"/>
      <c r="V36" s="292"/>
      <c r="W36" s="292"/>
    </row>
    <row r="37" spans="1:23">
      <c r="A37" s="63" t="e" vm="33">
        <v>#VALUE!</v>
      </c>
      <c r="B37" s="54">
        <f>'Privé&amp;Indirect - ARTM'!$B$8</f>
        <v>575.85555077116078</v>
      </c>
      <c r="C37" s="54">
        <f>'Caché - Accident'!$C$6</f>
        <v>3.3660695771362823</v>
      </c>
      <c r="D37" s="282">
        <f>'Privé - Temps'!C53</f>
        <v>3292.659316514505</v>
      </c>
      <c r="E37" s="54">
        <f>'Privé&amp;Indirect - ARTM'!$C$8+'Indirect - Villes'!L47+'Indirect - Villes'!T47+'Indirect - Prov. &amp; Féd.'!$C$10+'Indirect - Prov. &amp; Féd.'!$C$8</f>
        <v>2782.0877083344826</v>
      </c>
      <c r="F37" s="54">
        <f>'Caché - Accident'!$C$7+'Caché - Emprise spatiale'!M51+'Caché - Congestion'!$E$13+'Caché - GES'!$C$9</f>
        <v>696.39850599462011</v>
      </c>
      <c r="G37" s="54">
        <f>-'Caché - Santé'!$C$9</f>
        <v>-527.58383061384006</v>
      </c>
      <c r="H37" s="54">
        <f t="shared" si="4"/>
        <v>3871.8809368628022</v>
      </c>
      <c r="I37" s="54">
        <f t="shared" si="5"/>
        <v>2950.9023837152627</v>
      </c>
      <c r="J37" s="54">
        <f t="shared" si="2"/>
        <v>0.76213665446702406</v>
      </c>
      <c r="K37" s="54">
        <f>H37/('Clés de répartition'!G127*2*'Privé - Temps'!$B$11)</f>
        <v>1.1736159143623963</v>
      </c>
      <c r="L37" s="54">
        <f>I37/('Clés de répartition'!G127*2*'Privé - Temps'!$B$11)</f>
        <v>0.89445570660141405</v>
      </c>
      <c r="M37" s="366">
        <f t="shared" si="3"/>
        <v>1.204998202397727</v>
      </c>
      <c r="N37" s="366">
        <f>'Auto - résumé'!J37/I37</f>
        <v>4.3970851203170627</v>
      </c>
      <c r="O37" s="366">
        <f>'Auto - résumé'!I37/H37</f>
        <v>1.4038757184020649</v>
      </c>
      <c r="P37" s="366">
        <f>('Auto - résumé'!K37+'Auto - résumé'!L37)/('TC - résumé'!J37+'TC - résumé'!K37)</f>
        <v>1.7432104406122289</v>
      </c>
      <c r="Q37" t="s">
        <v>632</v>
      </c>
    </row>
    <row r="38" spans="1:23">
      <c r="A38" s="63" t="e" vm="34">
        <v>#VALUE!</v>
      </c>
      <c r="B38" s="54">
        <f>'Privé&amp;Indirect - ARTM'!$B$8</f>
        <v>575.85555077116078</v>
      </c>
      <c r="C38" s="54">
        <f>'Caché - Accident'!$C$6</f>
        <v>3.3660695771362823</v>
      </c>
      <c r="D38" s="282">
        <f>'Privé - Temps'!C54</f>
        <v>4058.4711081503874</v>
      </c>
      <c r="E38" s="54">
        <f>'Privé&amp;Indirect - ARTM'!$C$8+'Indirect - Villes'!L48+'Indirect - Villes'!T48+'Indirect - Prov. &amp; Féd.'!$C$10+'Indirect - Prov. &amp; Féd.'!$C$8</f>
        <v>2426.7935037918874</v>
      </c>
      <c r="F38" s="54">
        <f>'Caché - Accident'!$C$7+'Caché - Emprise spatiale'!M52+'Caché - Congestion'!$E$13+'Caché - GES'!$C$9</f>
        <v>363.76779401251702</v>
      </c>
      <c r="G38" s="54">
        <f>-'Caché - Santé'!$C$9</f>
        <v>-527.58383061384006</v>
      </c>
      <c r="H38" s="54">
        <f t="shared" si="4"/>
        <v>4637.6927284986841</v>
      </c>
      <c r="I38" s="54">
        <f t="shared" si="5"/>
        <v>2262.9774671905643</v>
      </c>
      <c r="J38" s="54">
        <f t="shared" si="2"/>
        <v>0.48795329912319058</v>
      </c>
      <c r="K38" s="54">
        <f>H38/('Clés de répartition'!G128*2*'Privé - Temps'!$B$11)</f>
        <v>1.1053312980139871</v>
      </c>
      <c r="L38" s="54">
        <f>I38/('Clés de répartition'!G128*2*'Privé - Temps'!$B$11)</f>
        <v>0.5393500534900435</v>
      </c>
      <c r="M38" s="366">
        <f t="shared" si="3"/>
        <v>0.92408471221537791</v>
      </c>
      <c r="N38" s="366">
        <f>'Auto - résumé'!J38/I38</f>
        <v>3.9311431803786614</v>
      </c>
      <c r="O38" s="366">
        <f>'Auto - résumé'!I38/H38</f>
        <v>1.158163975654021</v>
      </c>
      <c r="P38" s="366">
        <f>('Auto - résumé'!K38+'Auto - résumé'!L38)/('TC - résumé'!J38+'TC - résumé'!K38)</f>
        <v>1.6343594790905243</v>
      </c>
      <c r="Q38" s="21"/>
      <c r="R38" s="21"/>
      <c r="S38" s="53"/>
      <c r="T38" s="16"/>
    </row>
    <row r="40" spans="1:23" ht="21">
      <c r="N40" s="481" t="s">
        <v>819</v>
      </c>
    </row>
  </sheetData>
  <phoneticPr fontId="44" type="noConversion"/>
  <conditionalFormatting sqref="L3:L38 M19">
    <cfRule type="dataBar" priority="1">
      <dataBar>
        <cfvo type="min"/>
        <cfvo type="max"/>
        <color rgb="FFFF555A"/>
      </dataBar>
      <extLst>
        <ext xmlns:x14="http://schemas.microsoft.com/office/spreadsheetml/2009/9/main" uri="{B025F937-C7B1-47D3-B67F-A62EFF666E3E}">
          <x14:id>{87E9654B-1694-554D-A2CA-E56829DEC76C}</x14:id>
        </ext>
      </extLst>
    </cfRule>
  </conditionalFormatting>
  <hyperlinks>
    <hyperlink ref="A1" location="'Table des matières'!A1" display="Retour à la Table des matières" xr:uid="{4201F2E6-4DB4-9741-A354-48D2B55F096E}"/>
  </hyperlinks>
  <pageMargins left="0.7" right="0.7" top="0.75" bottom="0.75" header="0.3" footer="0.3"/>
  <pageSetup orientation="portrait" horizontalDpi="0" verticalDpi="0"/>
  <drawing r:id="rId1"/>
  <extLst>
    <ext xmlns:x14="http://schemas.microsoft.com/office/spreadsheetml/2009/9/main" uri="{78C0D931-6437-407d-A8EE-F0AAD7539E65}">
      <x14:conditionalFormattings>
        <x14:conditionalFormatting xmlns:xm="http://schemas.microsoft.com/office/excel/2006/main">
          <x14:cfRule type="dataBar" id="{87E9654B-1694-554D-A2CA-E56829DEC76C}">
            <x14:dataBar minLength="0" maxLength="100" border="1" negativeBarBorderColorSameAsPositive="0">
              <x14:cfvo type="autoMin"/>
              <x14:cfvo type="autoMax"/>
              <x14:borderColor rgb="FFFF555A"/>
              <x14:negativeFillColor rgb="FFFF0000"/>
              <x14:negativeBorderColor rgb="FFFF0000"/>
              <x14:axisColor rgb="FF000000"/>
            </x14:dataBar>
          </x14:cfRule>
          <xm:sqref>L3:L38 M19</xm:sqref>
        </x14:conditionalFormatting>
      </x14:conditionalFormatting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86EA52-9C63-4943-BA61-4344353892BF}">
  <sheetPr codeName="Sheet28">
    <tabColor rgb="FF99BFE1"/>
  </sheetPr>
  <dimension ref="A1:W36"/>
  <sheetViews>
    <sheetView zoomScale="116" zoomScaleNormal="100" workbookViewId="0">
      <selection activeCell="C18" sqref="C18"/>
    </sheetView>
  </sheetViews>
  <sheetFormatPr baseColWidth="10" defaultRowHeight="16"/>
  <cols>
    <col min="1" max="3" width="38.1640625" customWidth="1"/>
    <col min="4" max="5" width="18.5" customWidth="1"/>
    <col min="6" max="6" width="15.33203125" customWidth="1"/>
    <col min="7" max="7" width="13" customWidth="1"/>
    <col min="10" max="10" width="14.1640625" customWidth="1"/>
    <col min="11" max="11" width="13.6640625" customWidth="1"/>
    <col min="12" max="16" width="13.83203125" customWidth="1"/>
    <col min="17" max="17" width="23.6640625" customWidth="1"/>
    <col min="18" max="18" width="18.83203125" customWidth="1"/>
    <col min="19" max="19" width="13.5" customWidth="1"/>
  </cols>
  <sheetData>
    <row r="1" spans="1:23" s="114" customFormat="1" ht="34">
      <c r="A1" s="283" t="s">
        <v>855</v>
      </c>
      <c r="B1" s="283" t="s">
        <v>865</v>
      </c>
      <c r="C1" s="283" t="s">
        <v>866</v>
      </c>
      <c r="D1" s="283" t="s">
        <v>857</v>
      </c>
      <c r="E1" s="283" t="s">
        <v>858</v>
      </c>
      <c r="F1" s="283" t="s">
        <v>859</v>
      </c>
      <c r="G1" s="283" t="s">
        <v>860</v>
      </c>
      <c r="H1" s="114" t="s">
        <v>861</v>
      </c>
      <c r="I1" s="114" t="s">
        <v>862</v>
      </c>
      <c r="J1" s="283" t="s">
        <v>863</v>
      </c>
      <c r="K1" s="138" t="s">
        <v>864</v>
      </c>
      <c r="L1" s="138"/>
      <c r="M1" s="138"/>
      <c r="N1" s="138"/>
      <c r="O1" s="138"/>
      <c r="P1" s="138"/>
      <c r="Q1" s="138"/>
      <c r="R1" s="138"/>
      <c r="S1" s="138"/>
      <c r="T1" s="138"/>
    </row>
    <row r="2" spans="1:23">
      <c r="A2" s="502" t="s">
        <v>202</v>
      </c>
      <c r="B2" s="502">
        <f>'Clés de répartition'!G93</f>
        <v>9.6170434760374199</v>
      </c>
      <c r="C2" s="502">
        <f>'Clés de répartition'!C93</f>
        <v>37.820829578364282</v>
      </c>
      <c r="D2">
        <f>'Privé&amp;Indirect - ARTM'!$B$8</f>
        <v>575.85555077116078</v>
      </c>
      <c r="E2">
        <f xml:space="preserve"> 'Caché - Accident'!$C$6</f>
        <v>3.3660695771362823</v>
      </c>
      <c r="F2" s="54">
        <f>'Privé&amp;Indirect - ARTM'!$C$8+'Indirect - Villes'!L13+'Indirect - Villes'!T13+'Indirect - Prov. &amp; Féd.'!$C$10+'Indirect - Prov. &amp; Féd.'!$C$8</f>
        <v>2543.3237772488224</v>
      </c>
      <c r="G2">
        <f>'Caché - GES'!$C$9</f>
        <v>71.905050819337447</v>
      </c>
      <c r="H2">
        <f>'Caché - Congestion'!$E$13</f>
        <v>57.237326414306992</v>
      </c>
      <c r="I2">
        <f>'Caché - Accident'!$C$7</f>
        <v>38.111270532249712</v>
      </c>
      <c r="J2">
        <f>'Caché - Emprise spatiale'!M17</f>
        <v>265.89170504895156</v>
      </c>
      <c r="K2">
        <f>-'Caché - Santé'!$C$9</f>
        <v>-527.58383061384006</v>
      </c>
      <c r="L2" s="54"/>
      <c r="M2" s="54"/>
      <c r="N2" s="54"/>
      <c r="O2" s="54"/>
      <c r="P2" s="366"/>
      <c r="Q2" s="21"/>
      <c r="R2" s="21"/>
      <c r="S2" s="53"/>
      <c r="T2" s="16"/>
    </row>
    <row r="3" spans="1:23">
      <c r="A3" s="502" t="s">
        <v>71</v>
      </c>
      <c r="B3" s="502">
        <f>'Clés de répartition'!G94</f>
        <v>24.155631751426199</v>
      </c>
      <c r="C3" s="502">
        <f>'Clés de répartition'!C94</f>
        <v>58.096988577362403</v>
      </c>
      <c r="D3">
        <f>'Privé&amp;Indirect - ARTM'!$B$8</f>
        <v>575.85555077116078</v>
      </c>
      <c r="E3">
        <f xml:space="preserve"> 'Caché - Accident'!$C$6</f>
        <v>3.3660695771362823</v>
      </c>
      <c r="F3" s="54">
        <f>'Privé&amp;Indirect - ARTM'!$C$8+'Indirect - Villes'!L14+'Indirect - Villes'!T14+'Indirect - Prov. &amp; Féd.'!$C$10+'Indirect - Prov. &amp; Féd.'!$C$8</f>
        <v>5988.5582368519463</v>
      </c>
      <c r="G3">
        <f>'Caché - GES'!$C$9</f>
        <v>71.905050819337447</v>
      </c>
      <c r="H3">
        <f>'Caché - Congestion'!$E$13</f>
        <v>57.237326414306992</v>
      </c>
      <c r="I3">
        <f>'Caché - Accident'!$C$7</f>
        <v>38.111270532249712</v>
      </c>
      <c r="J3">
        <f>'Caché - Emprise spatiale'!M18</f>
        <v>166.69466539895711</v>
      </c>
      <c r="K3">
        <f>-'Caché - Santé'!$C$9</f>
        <v>-527.58383061384006</v>
      </c>
      <c r="L3" s="54"/>
      <c r="M3" s="54"/>
      <c r="N3" s="54"/>
      <c r="O3" s="54"/>
      <c r="P3" s="366"/>
      <c r="S3" s="53"/>
      <c r="T3" s="16"/>
      <c r="V3" s="292"/>
      <c r="W3" s="292"/>
    </row>
    <row r="4" spans="1:23">
      <c r="A4" s="502" t="s">
        <v>72</v>
      </c>
      <c r="B4" s="502">
        <f>'Clés de répartition'!G95</f>
        <v>17.567693188607901</v>
      </c>
      <c r="C4" s="502">
        <f>'Clés de répartition'!C95</f>
        <v>46.763768007701003</v>
      </c>
      <c r="D4">
        <f>'Privé&amp;Indirect - ARTM'!$B$8</f>
        <v>575.85555077116078</v>
      </c>
      <c r="E4">
        <f xml:space="preserve"> 'Caché - Accident'!$C$6</f>
        <v>3.3660695771362823</v>
      </c>
      <c r="F4" s="54">
        <f>'Privé&amp;Indirect - ARTM'!$C$8+'Indirect - Villes'!L15+'Indirect - Villes'!T15+'Indirect - Prov. &amp; Féd.'!$C$10+'Indirect - Prov. &amp; Féd.'!$C$8</f>
        <v>2628.578059091361</v>
      </c>
      <c r="G4">
        <f>'Caché - GES'!$C$9</f>
        <v>71.905050819337447</v>
      </c>
      <c r="H4">
        <f>'Caché - Congestion'!$E$13</f>
        <v>57.237326414306992</v>
      </c>
      <c r="I4">
        <f>'Caché - Accident'!$C$7</f>
        <v>38.111270532249712</v>
      </c>
      <c r="J4">
        <f>'Caché - Emprise spatiale'!M19</f>
        <v>114.96022775250489</v>
      </c>
      <c r="K4">
        <f>-'Caché - Santé'!$C$9</f>
        <v>-527.58383061384006</v>
      </c>
      <c r="L4" s="54"/>
      <c r="M4" s="54"/>
      <c r="N4" s="54"/>
      <c r="O4" s="54"/>
      <c r="P4" s="366"/>
      <c r="S4" s="53"/>
      <c r="T4" s="16"/>
      <c r="V4" s="292"/>
      <c r="W4" s="292"/>
    </row>
    <row r="5" spans="1:23">
      <c r="A5" s="502" t="s">
        <v>73</v>
      </c>
      <c r="B5" s="502">
        <f>'Clés de répartition'!G96</f>
        <v>9.0731046990138609</v>
      </c>
      <c r="C5" s="502">
        <f>'Clés de répartition'!C96</f>
        <v>42.446271099963703</v>
      </c>
      <c r="D5">
        <f>'Privé&amp;Indirect - ARTM'!$B$8</f>
        <v>575.85555077116078</v>
      </c>
      <c r="E5">
        <f xml:space="preserve"> 'Caché - Accident'!$C$6</f>
        <v>3.3660695771362823</v>
      </c>
      <c r="F5" s="54">
        <f>'Privé&amp;Indirect - ARTM'!$C$8+'Indirect - Villes'!L16+'Indirect - Villes'!T16+'Indirect - Prov. &amp; Féd.'!$C$10+'Indirect - Prov. &amp; Féd.'!$C$8</f>
        <v>2336.0431925765251</v>
      </c>
      <c r="G5">
        <f>'Caché - GES'!$C$9</f>
        <v>71.905050819337447</v>
      </c>
      <c r="H5">
        <f>'Caché - Congestion'!$E$13</f>
        <v>57.237326414306992</v>
      </c>
      <c r="I5">
        <f>'Caché - Accident'!$C$7</f>
        <v>38.111270532249712</v>
      </c>
      <c r="J5">
        <f>'Caché - Emprise spatiale'!M20</f>
        <v>156.77081316887353</v>
      </c>
      <c r="K5">
        <f>-'Caché - Santé'!$C$9</f>
        <v>-527.58383061384006</v>
      </c>
      <c r="L5" s="54"/>
      <c r="M5" s="54"/>
      <c r="N5" s="54"/>
      <c r="O5" s="54"/>
      <c r="P5" s="366"/>
      <c r="R5" s="54"/>
      <c r="S5" s="53"/>
      <c r="T5" s="16"/>
      <c r="V5" s="292"/>
      <c r="W5" s="292"/>
    </row>
    <row r="6" spans="1:23">
      <c r="A6" s="502" t="s">
        <v>74</v>
      </c>
      <c r="B6" s="502">
        <f>'Clés de répartition'!G97</f>
        <v>16.264152566760899</v>
      </c>
      <c r="C6" s="502">
        <f>'Clés de répartition'!C97</f>
        <v>53.832085630025297</v>
      </c>
      <c r="D6">
        <f>'Privé&amp;Indirect - ARTM'!$B$8</f>
        <v>575.85555077116078</v>
      </c>
      <c r="E6">
        <f xml:space="preserve"> 'Caché - Accident'!$C$6</f>
        <v>3.3660695771362823</v>
      </c>
      <c r="F6" s="54">
        <f>'Privé&amp;Indirect - ARTM'!$C$8+'Indirect - Villes'!L17+'Indirect - Villes'!T17+'Indirect - Prov. &amp; Féd.'!$C$10+'Indirect - Prov. &amp; Féd.'!$C$8</f>
        <v>2559.2741082654525</v>
      </c>
      <c r="G6">
        <f>'Caché - GES'!$C$9</f>
        <v>71.905050819337447</v>
      </c>
      <c r="H6">
        <f>'Caché - Congestion'!$E$13</f>
        <v>57.237326414306992</v>
      </c>
      <c r="I6">
        <f>'Caché - Accident'!$C$7</f>
        <v>38.111270532249712</v>
      </c>
      <c r="J6">
        <f>'Caché - Emprise spatiale'!M21</f>
        <v>110.31468654617926</v>
      </c>
      <c r="K6">
        <f>-'Caché - Santé'!$C$9</f>
        <v>-527.58383061384006</v>
      </c>
      <c r="L6" s="54"/>
      <c r="M6" s="54"/>
      <c r="N6" s="54"/>
      <c r="O6" s="54"/>
      <c r="P6" s="366"/>
      <c r="R6" s="54"/>
      <c r="S6" s="53"/>
      <c r="T6" s="16"/>
      <c r="V6" s="292"/>
      <c r="W6" s="292"/>
    </row>
    <row r="7" spans="1:23">
      <c r="A7" s="502" t="s">
        <v>86</v>
      </c>
      <c r="B7" s="502">
        <f>'Clés de répartition'!G98</f>
        <v>16.353511112403599</v>
      </c>
      <c r="C7" s="502">
        <f>'Clés de répartition'!C98</f>
        <v>46.709217280952799</v>
      </c>
      <c r="D7">
        <f>'Privé&amp;Indirect - ARTM'!$B$8</f>
        <v>575.85555077116078</v>
      </c>
      <c r="E7">
        <f xml:space="preserve"> 'Caché - Accident'!$C$6</f>
        <v>3.3660695771362823</v>
      </c>
      <c r="F7" s="54">
        <f>'Privé&amp;Indirect - ARTM'!$C$8+'Indirect - Villes'!L18+'Indirect - Villes'!T18+'Indirect - Prov. &amp; Féd.'!$C$10+'Indirect - Prov. &amp; Féd.'!$C$8</f>
        <v>4860.0549296753543</v>
      </c>
      <c r="G7">
        <f>'Caché - GES'!$C$9</f>
        <v>71.905050819337447</v>
      </c>
      <c r="H7">
        <f>'Caché - Congestion'!$E$13</f>
        <v>57.237326414306992</v>
      </c>
      <c r="I7">
        <f>'Caché - Accident'!$C$7</f>
        <v>38.111270532249712</v>
      </c>
      <c r="J7">
        <f>'Caché - Emprise spatiale'!M22</f>
        <v>177.31596190576542</v>
      </c>
      <c r="K7">
        <f>-'Caché - Santé'!$C$9</f>
        <v>-527.58383061384006</v>
      </c>
      <c r="L7" s="54"/>
      <c r="M7" s="54"/>
      <c r="N7" s="54"/>
      <c r="O7" s="54"/>
      <c r="P7" s="366"/>
      <c r="S7" s="53"/>
      <c r="T7" s="16"/>
      <c r="V7" s="292"/>
      <c r="W7" s="292"/>
    </row>
    <row r="8" spans="1:23">
      <c r="A8" s="502" t="s">
        <v>76</v>
      </c>
      <c r="B8" s="502">
        <f>'Clés de répartition'!G99</f>
        <v>7.6339274268005104</v>
      </c>
      <c r="C8" s="502">
        <f>'Clés de répartition'!C99</f>
        <v>32.790358710332498</v>
      </c>
      <c r="D8">
        <f>'Privé&amp;Indirect - ARTM'!$B$8</f>
        <v>575.85555077116078</v>
      </c>
      <c r="E8">
        <f xml:space="preserve"> 'Caché - Accident'!$C$6</f>
        <v>3.3660695771362823</v>
      </c>
      <c r="F8" s="54">
        <f>'Privé&amp;Indirect - ARTM'!$C$8+'Indirect - Villes'!L19+'Indirect - Villes'!T19+'Indirect - Prov. &amp; Féd.'!$C$10+'Indirect - Prov. &amp; Féd.'!$C$8</f>
        <v>2712.598044430727</v>
      </c>
      <c r="G8">
        <f>'Caché - GES'!$C$9</f>
        <v>71.905050819337447</v>
      </c>
      <c r="H8">
        <f>'Caché - Congestion'!$E$13</f>
        <v>57.237326414306992</v>
      </c>
      <c r="I8">
        <f>'Caché - Accident'!$C$7</f>
        <v>38.111270532249712</v>
      </c>
      <c r="J8">
        <f>'Caché - Emprise spatiale'!M23</f>
        <v>859.00588773080881</v>
      </c>
      <c r="K8">
        <f>-'Caché - Santé'!$C$9</f>
        <v>-527.58383061384006</v>
      </c>
      <c r="L8" s="54"/>
      <c r="M8" s="54"/>
      <c r="N8" s="54"/>
      <c r="O8" s="54"/>
      <c r="P8" s="366"/>
      <c r="R8" s="54"/>
      <c r="S8" s="53"/>
      <c r="T8" s="16"/>
      <c r="V8" s="292"/>
      <c r="W8" s="292"/>
    </row>
    <row r="9" spans="1:23">
      <c r="A9" s="502" t="s">
        <v>77</v>
      </c>
      <c r="B9" s="502">
        <f>'Clés de répartition'!G100</f>
        <v>16.8609984607731</v>
      </c>
      <c r="C9" s="502">
        <f>'Clés de répartition'!C100</f>
        <v>52.446949592822797</v>
      </c>
      <c r="D9">
        <f>'Privé&amp;Indirect - ARTM'!$B$8</f>
        <v>575.85555077116078</v>
      </c>
      <c r="E9">
        <f xml:space="preserve"> 'Caché - Accident'!$C$6</f>
        <v>3.3660695771362823</v>
      </c>
      <c r="F9" s="54">
        <f>'Privé&amp;Indirect - ARTM'!$C$8+'Indirect - Villes'!L20+'Indirect - Villes'!T20+'Indirect - Prov. &amp; Féd.'!$C$10+'Indirect - Prov. &amp; Féd.'!$C$8</f>
        <v>3375.6894736131371</v>
      </c>
      <c r="G9">
        <f>'Caché - GES'!$C$9</f>
        <v>71.905050819337447</v>
      </c>
      <c r="H9">
        <f>'Caché - Congestion'!$E$13</f>
        <v>57.237326414306992</v>
      </c>
      <c r="I9">
        <f>'Caché - Accident'!$C$7</f>
        <v>38.111270532249712</v>
      </c>
      <c r="J9">
        <f>'Caché - Emprise spatiale'!M24</f>
        <v>124.4309786875628</v>
      </c>
      <c r="K9">
        <f>-'Caché - Santé'!$C$9</f>
        <v>-527.58383061384006</v>
      </c>
      <c r="L9" s="54"/>
      <c r="M9" s="54"/>
      <c r="N9" s="54"/>
      <c r="O9" s="54"/>
      <c r="P9" s="366"/>
      <c r="S9" s="53"/>
      <c r="T9" s="16"/>
      <c r="V9" s="292"/>
      <c r="W9" s="292"/>
    </row>
    <row r="10" spans="1:23">
      <c r="A10" s="502" t="s">
        <v>79</v>
      </c>
      <c r="B10" s="502">
        <f>'Clés de répartition'!G101</f>
        <v>9.3225834851926823</v>
      </c>
      <c r="C10" s="502">
        <f>'Clés de répartition'!C101</f>
        <v>37.238079361120249</v>
      </c>
      <c r="D10">
        <f>'Privé&amp;Indirect - ARTM'!$B$8</f>
        <v>575.85555077116078</v>
      </c>
      <c r="E10">
        <f xml:space="preserve"> 'Caché - Accident'!$C$6</f>
        <v>3.3660695771362823</v>
      </c>
      <c r="F10" s="54">
        <f>'Privé&amp;Indirect - ARTM'!$C$8+'Indirect - Villes'!L21+'Indirect - Villes'!T21+'Indirect - Prov. &amp; Féd.'!$C$10+'Indirect - Prov. &amp; Féd.'!$C$8</f>
        <v>2482.0274814212876</v>
      </c>
      <c r="G10">
        <f>'Caché - GES'!$C$9</f>
        <v>71.905050819337447</v>
      </c>
      <c r="H10">
        <f>'Caché - Congestion'!$E$13</f>
        <v>57.237326414306992</v>
      </c>
      <c r="I10">
        <f>'Caché - Accident'!$C$7</f>
        <v>38.111270532249712</v>
      </c>
      <c r="J10">
        <f>'Caché - Emprise spatiale'!M25</f>
        <v>257.89648488397643</v>
      </c>
      <c r="K10">
        <f>-'Caché - Santé'!$C$9</f>
        <v>-527.58383061384006</v>
      </c>
      <c r="L10" s="54"/>
      <c r="M10" s="54"/>
      <c r="N10" s="54"/>
      <c r="O10" s="54"/>
      <c r="P10" s="366"/>
      <c r="R10" s="53"/>
      <c r="S10" s="53"/>
      <c r="T10" s="16"/>
      <c r="V10" s="292"/>
      <c r="W10" s="292"/>
    </row>
    <row r="11" spans="1:23">
      <c r="A11" s="502" t="s">
        <v>80</v>
      </c>
      <c r="B11" s="502">
        <f>'Clés de répartition'!G102</f>
        <v>14.7982241524461</v>
      </c>
      <c r="C11" s="502">
        <f>'Clés de répartition'!C102</f>
        <v>48.311255031503102</v>
      </c>
      <c r="D11">
        <f>'Privé&amp;Indirect - ARTM'!$B$8</f>
        <v>575.85555077116078</v>
      </c>
      <c r="E11">
        <f xml:space="preserve"> 'Caché - Accident'!$C$6</f>
        <v>3.3660695771362823</v>
      </c>
      <c r="F11" s="54">
        <f>'Privé&amp;Indirect - ARTM'!$C$8+'Indirect - Villes'!L22+'Indirect - Villes'!T22+'Indirect - Prov. &amp; Féd.'!$C$10+'Indirect - Prov. &amp; Féd.'!$C$8</f>
        <v>1921.3151906980374</v>
      </c>
      <c r="G11">
        <f>'Caché - GES'!$C$9</f>
        <v>71.905050819337447</v>
      </c>
      <c r="H11">
        <f>'Caché - Congestion'!$E$13</f>
        <v>57.237326414306992</v>
      </c>
      <c r="I11">
        <f>'Caché - Accident'!$C$7</f>
        <v>38.111270532249712</v>
      </c>
      <c r="J11">
        <f>'Caché - Emprise spatiale'!M26</f>
        <v>105.99588180744465</v>
      </c>
      <c r="K11">
        <f>-'Caché - Santé'!$C$9</f>
        <v>-527.58383061384006</v>
      </c>
      <c r="L11" s="54"/>
      <c r="M11" s="54"/>
      <c r="N11" s="54"/>
      <c r="O11" s="54"/>
      <c r="P11" s="366"/>
      <c r="S11" s="53"/>
      <c r="T11" s="16"/>
      <c r="V11" s="292"/>
      <c r="W11" s="292"/>
    </row>
    <row r="12" spans="1:23">
      <c r="A12" s="502" t="s">
        <v>81</v>
      </c>
      <c r="B12" s="502">
        <f>'Clés de répartition'!G103</f>
        <v>8.4599490667577903</v>
      </c>
      <c r="C12" s="502">
        <f>'Clés de répartition'!C103</f>
        <v>39.246941869901299</v>
      </c>
      <c r="D12">
        <f>'Privé&amp;Indirect - ARTM'!$B$8</f>
        <v>575.85555077116078</v>
      </c>
      <c r="E12">
        <f xml:space="preserve"> 'Caché - Accident'!$C$6</f>
        <v>3.3660695771362823</v>
      </c>
      <c r="F12" s="54">
        <f>'Privé&amp;Indirect - ARTM'!$C$8+'Indirect - Villes'!L23+'Indirect - Villes'!T23+'Indirect - Prov. &amp; Féd.'!$C$10+'Indirect - Prov. &amp; Féd.'!$C$8</f>
        <v>2637.0434464737637</v>
      </c>
      <c r="G12">
        <f>'Caché - GES'!$C$9</f>
        <v>71.905050819337447</v>
      </c>
      <c r="H12">
        <f>'Caché - Congestion'!$E$13</f>
        <v>57.237326414306992</v>
      </c>
      <c r="I12">
        <f>'Caché - Accident'!$C$7</f>
        <v>38.111270532249712</v>
      </c>
      <c r="J12">
        <f>'Caché - Emprise spatiale'!M27</f>
        <v>607.76163498470589</v>
      </c>
      <c r="K12">
        <f>-'Caché - Santé'!$C$9</f>
        <v>-527.58383061384006</v>
      </c>
      <c r="L12" s="54"/>
      <c r="M12" s="54"/>
      <c r="N12" s="54"/>
      <c r="O12" s="54"/>
      <c r="P12" s="366"/>
      <c r="S12" s="53"/>
      <c r="T12" s="16"/>
      <c r="V12" s="292"/>
      <c r="W12" s="292"/>
    </row>
    <row r="13" spans="1:23">
      <c r="A13" s="502" t="s">
        <v>78</v>
      </c>
      <c r="B13" s="502">
        <f>'Clés de répartition'!G104</f>
        <v>8.8152948611064197</v>
      </c>
      <c r="C13" s="502">
        <f>'Clés de répartition'!C104</f>
        <v>38.227665720959898</v>
      </c>
      <c r="D13">
        <f>'Privé&amp;Indirect - ARTM'!$B$8</f>
        <v>575.85555077116078</v>
      </c>
      <c r="E13">
        <f xml:space="preserve"> 'Caché - Accident'!$C$6</f>
        <v>3.3660695771362823</v>
      </c>
      <c r="F13" s="54">
        <f>'Privé&amp;Indirect - ARTM'!$C$8+'Indirect - Villes'!L24+'Indirect - Villes'!T24+'Indirect - Prov. &amp; Féd.'!$C$10+'Indirect - Prov. &amp; Féd.'!$C$8</f>
        <v>3663.5942307754922</v>
      </c>
      <c r="G13">
        <f>'Caché - GES'!$C$9</f>
        <v>71.905050819337447</v>
      </c>
      <c r="H13">
        <f>'Caché - Congestion'!$E$13</f>
        <v>57.237326414306992</v>
      </c>
      <c r="I13">
        <f>'Caché - Accident'!$C$7</f>
        <v>38.111270532249712</v>
      </c>
      <c r="J13">
        <f>'Caché - Emprise spatiale'!M28</f>
        <v>847.03093884241503</v>
      </c>
      <c r="K13">
        <f>-'Caché - Santé'!$C$9</f>
        <v>-527.58383061384006</v>
      </c>
      <c r="L13" s="54"/>
      <c r="M13" s="54"/>
      <c r="N13" s="54"/>
      <c r="O13" s="54"/>
      <c r="P13" s="366"/>
      <c r="S13" s="53"/>
      <c r="T13" s="16"/>
      <c r="V13" s="292"/>
      <c r="W13" s="292"/>
    </row>
    <row r="14" spans="1:23">
      <c r="A14" s="502" t="s">
        <v>82</v>
      </c>
      <c r="B14" s="502">
        <f>'Clés de répartition'!G105</f>
        <v>16.749923060000601</v>
      </c>
      <c r="C14" s="502">
        <f>'Clés de répartition'!C105</f>
        <v>47.502691502580198</v>
      </c>
      <c r="D14">
        <f>'Privé&amp;Indirect - ARTM'!$B$8</f>
        <v>575.85555077116078</v>
      </c>
      <c r="E14">
        <f xml:space="preserve"> 'Caché - Accident'!$C$6</f>
        <v>3.3660695771362823</v>
      </c>
      <c r="F14" s="54">
        <f>'Privé&amp;Indirect - ARTM'!$C$8+'Indirect - Villes'!L25+'Indirect - Villes'!T25+'Indirect - Prov. &amp; Féd.'!$C$10+'Indirect - Prov. &amp; Féd.'!$C$8</f>
        <v>4050.8130714052841</v>
      </c>
      <c r="G14">
        <f>'Caché - GES'!$C$9</f>
        <v>71.905050819337447</v>
      </c>
      <c r="H14">
        <f>'Caché - Congestion'!$E$13</f>
        <v>57.237326414306992</v>
      </c>
      <c r="I14">
        <f>'Caché - Accident'!$C$7</f>
        <v>38.111270532249712</v>
      </c>
      <c r="J14">
        <f>'Caché - Emprise spatiale'!M29</f>
        <v>229.94021968430584</v>
      </c>
      <c r="K14">
        <f>-'Caché - Santé'!$C$9</f>
        <v>-527.58383061384006</v>
      </c>
      <c r="L14" s="54"/>
      <c r="M14" s="54"/>
      <c r="N14" s="54"/>
      <c r="O14" s="54"/>
      <c r="P14" s="366"/>
      <c r="S14" s="53"/>
      <c r="T14" s="16"/>
      <c r="V14" s="292"/>
      <c r="W14" s="292"/>
    </row>
    <row r="15" spans="1:23">
      <c r="A15" s="502" t="s">
        <v>83</v>
      </c>
      <c r="B15" s="502">
        <f>'Clés de répartition'!G106</f>
        <v>16.595110172812699</v>
      </c>
      <c r="C15" s="502">
        <f>'Clés de répartition'!C106</f>
        <v>50.006753641876202</v>
      </c>
      <c r="D15">
        <f>'Privé&amp;Indirect - ARTM'!$B$8</f>
        <v>575.85555077116078</v>
      </c>
      <c r="E15">
        <f xml:space="preserve"> 'Caché - Accident'!$C$6</f>
        <v>3.3660695771362823</v>
      </c>
      <c r="F15" s="54">
        <f>'Privé&amp;Indirect - ARTM'!$C$8+'Indirect - Villes'!L26+'Indirect - Villes'!T26+'Indirect - Prov. &amp; Féd.'!$C$10+'Indirect - Prov. &amp; Féd.'!$C$8</f>
        <v>3316.3502055417612</v>
      </c>
      <c r="G15">
        <f>'Caché - GES'!$C$9</f>
        <v>71.905050819337447</v>
      </c>
      <c r="H15">
        <f>'Caché - Congestion'!$E$13</f>
        <v>57.237326414306992</v>
      </c>
      <c r="I15">
        <f>'Caché - Accident'!$C$7</f>
        <v>38.111270532249712</v>
      </c>
      <c r="J15">
        <f>'Caché - Emprise spatiale'!M30</f>
        <v>37.36382794358304</v>
      </c>
      <c r="K15">
        <f>-'Caché - Santé'!$C$9</f>
        <v>-527.58383061384006</v>
      </c>
      <c r="L15" s="54"/>
      <c r="M15" s="54"/>
      <c r="N15" s="54"/>
      <c r="O15" s="54"/>
      <c r="P15" s="366"/>
      <c r="S15" s="53"/>
      <c r="T15" s="16"/>
      <c r="V15" s="292"/>
      <c r="W15" s="292"/>
    </row>
    <row r="16" spans="1:23">
      <c r="A16" s="502" t="s">
        <v>84</v>
      </c>
      <c r="B16" s="502">
        <f>'Clés de répartition'!G107</f>
        <v>35.780950327079303</v>
      </c>
      <c r="C16" s="502">
        <f>'Clés de répartition'!C107</f>
        <v>91.775122804495297</v>
      </c>
      <c r="D16">
        <f>'Privé&amp;Indirect - ARTM'!$B$8</f>
        <v>575.85555077116078</v>
      </c>
      <c r="E16">
        <f xml:space="preserve"> 'Caché - Accident'!$C$6</f>
        <v>3.3660695771362823</v>
      </c>
      <c r="F16" s="54">
        <f>'Privé&amp;Indirect - ARTM'!$C$8+'Indirect - Villes'!L27+'Indirect - Villes'!T27+'Indirect - Prov. &amp; Féd.'!$C$10+'Indirect - Prov. &amp; Féd.'!$C$8</f>
        <v>5589.150549155137</v>
      </c>
      <c r="G16">
        <f>'Caché - GES'!$C$9</f>
        <v>71.905050819337447</v>
      </c>
      <c r="H16">
        <f>'Caché - Congestion'!$E$13</f>
        <v>57.237326414306992</v>
      </c>
      <c r="I16">
        <f>'Caché - Accident'!$C$7</f>
        <v>38.111270532249712</v>
      </c>
      <c r="J16">
        <f>'Caché - Emprise spatiale'!M31</f>
        <v>2.6034939104629666</v>
      </c>
      <c r="K16">
        <f>-'Caché - Santé'!$C$9</f>
        <v>-527.58383061384006</v>
      </c>
      <c r="L16" s="54"/>
      <c r="M16" s="54"/>
      <c r="N16" s="54"/>
      <c r="O16" s="54"/>
      <c r="P16" s="366"/>
      <c r="S16" s="53"/>
      <c r="T16" s="16"/>
      <c r="V16" s="292"/>
      <c r="W16" s="292"/>
    </row>
    <row r="17" spans="1:23">
      <c r="A17" s="502" t="s">
        <v>85</v>
      </c>
      <c r="B17" s="502">
        <f>'Clés de répartition'!G108</f>
        <v>6.4776948990422403</v>
      </c>
      <c r="C17" s="502">
        <f>'Clés de répartition'!C108</f>
        <v>28.759378115818599</v>
      </c>
      <c r="D17">
        <f>'Privé&amp;Indirect - ARTM'!$B$8</f>
        <v>575.85555077116078</v>
      </c>
      <c r="E17">
        <f xml:space="preserve"> 'Caché - Accident'!$C$6</f>
        <v>3.3660695771362823</v>
      </c>
      <c r="F17" s="54">
        <f>'Privé&amp;Indirect - ARTM'!$C$8+'Indirect - Villes'!L28+'Indirect - Villes'!T28+'Indirect - Prov. &amp; Féd.'!$C$10+'Indirect - Prov. &amp; Féd.'!$C$8</f>
        <v>4351.2296572155719</v>
      </c>
      <c r="G17">
        <f>'Caché - GES'!$C$9</f>
        <v>71.905050819337447</v>
      </c>
      <c r="H17">
        <f>'Caché - Congestion'!$E$13</f>
        <v>57.237326414306992</v>
      </c>
      <c r="I17">
        <f>'Caché - Accident'!$C$7</f>
        <v>38.111270532249712</v>
      </c>
      <c r="J17">
        <f>'Caché - Emprise spatiale'!M32</f>
        <v>1115.637033209616</v>
      </c>
      <c r="K17">
        <f>-'Caché - Santé'!$C$9</f>
        <v>-527.58383061384006</v>
      </c>
      <c r="L17" s="54"/>
      <c r="M17" s="54"/>
      <c r="N17" s="54"/>
      <c r="O17" s="54"/>
      <c r="P17" s="366"/>
      <c r="S17" s="53"/>
      <c r="T17" s="16"/>
      <c r="V17" s="292"/>
      <c r="W17" s="292"/>
    </row>
    <row r="18" spans="1:23">
      <c r="A18" s="502" t="s">
        <v>154</v>
      </c>
      <c r="B18" s="502">
        <f>'Clés de répartition'!G110</f>
        <v>10.235931186559799</v>
      </c>
      <c r="C18" s="502">
        <f>'Clés de répartition'!C110</f>
        <v>40.089549994197</v>
      </c>
      <c r="D18">
        <f>'Privé&amp;Indirect - ARTM'!$B$8</f>
        <v>575.85555077116078</v>
      </c>
      <c r="E18">
        <f xml:space="preserve"> 'Caché - Accident'!$C$6</f>
        <v>3.3660695771362823</v>
      </c>
      <c r="F18" s="54">
        <f>'Privé&amp;Indirect - ARTM'!$C$8+'Indirect - Villes'!L30+'Indirect - Villes'!T30+'Indirect - Prov. &amp; Féd.'!$C$10+'Indirect - Prov. &amp; Féd.'!$C$8</f>
        <v>2455.1037871592116</v>
      </c>
      <c r="G18">
        <f>'Caché - GES'!$C$9</f>
        <v>71.905050819337447</v>
      </c>
      <c r="H18">
        <f>'Caché - Congestion'!$E$13</f>
        <v>57.237326414306992</v>
      </c>
      <c r="I18">
        <f>'Caché - Accident'!$C$7</f>
        <v>38.111270532249712</v>
      </c>
      <c r="J18">
        <f>'Caché - Emprise spatiale'!M34</f>
        <v>262.80897100032649</v>
      </c>
      <c r="K18">
        <f>-'Caché - Santé'!$C$9</f>
        <v>-527.58383061384006</v>
      </c>
      <c r="L18" s="54"/>
      <c r="M18" s="54"/>
      <c r="N18" s="54"/>
      <c r="O18" s="54"/>
      <c r="P18" s="366"/>
      <c r="S18" s="53"/>
      <c r="T18" s="16"/>
      <c r="V18" s="292"/>
      <c r="W18" s="292"/>
    </row>
    <row r="19" spans="1:23">
      <c r="A19" s="502" t="s">
        <v>155</v>
      </c>
      <c r="B19" s="502">
        <f>'Clés de répartition'!G111</f>
        <v>11.380590724239299</v>
      </c>
      <c r="C19" s="502">
        <f>'Clés de répartition'!C111</f>
        <v>43.038942425811101</v>
      </c>
      <c r="D19">
        <f>'Privé&amp;Indirect - ARTM'!$B$8</f>
        <v>575.85555077116078</v>
      </c>
      <c r="E19">
        <f xml:space="preserve"> 'Caché - Accident'!$C$6</f>
        <v>3.3660695771362823</v>
      </c>
      <c r="F19" s="54">
        <f>'Privé&amp;Indirect - ARTM'!$C$8+'Indirect - Villes'!L31+'Indirect - Villes'!T31+'Indirect - Prov. &amp; Féd.'!$C$10+'Indirect - Prov. &amp; Féd.'!$C$8</f>
        <v>2519.925628331629</v>
      </c>
      <c r="G19">
        <f>'Caché - GES'!$C$9</f>
        <v>71.905050819337447</v>
      </c>
      <c r="H19">
        <f>'Caché - Congestion'!$E$13</f>
        <v>57.237326414306992</v>
      </c>
      <c r="I19">
        <f>'Caché - Accident'!$C$7</f>
        <v>38.111270532249712</v>
      </c>
      <c r="J19">
        <f>'Caché - Emprise spatiale'!M35</f>
        <v>162.40931587234206</v>
      </c>
      <c r="K19">
        <f>-'Caché - Santé'!$C$9</f>
        <v>-527.58383061384006</v>
      </c>
      <c r="L19" s="54"/>
      <c r="M19" s="54"/>
      <c r="N19" s="54"/>
      <c r="O19" s="54"/>
      <c r="P19" s="366"/>
      <c r="S19" s="53"/>
      <c r="T19" s="16"/>
      <c r="V19" s="292"/>
      <c r="W19" s="292"/>
    </row>
    <row r="20" spans="1:23">
      <c r="A20" s="502" t="s">
        <v>156</v>
      </c>
      <c r="B20" s="502">
        <f>'Clés de répartition'!G112</f>
        <v>7.6042732552240704</v>
      </c>
      <c r="C20" s="502">
        <f>'Clés de répartition'!C112</f>
        <v>32.779297445103197</v>
      </c>
      <c r="D20">
        <f>'Privé&amp;Indirect - ARTM'!$B$8</f>
        <v>575.85555077116078</v>
      </c>
      <c r="E20">
        <f xml:space="preserve"> 'Caché - Accident'!$C$6</f>
        <v>3.3660695771362823</v>
      </c>
      <c r="F20" s="54">
        <f>'Privé&amp;Indirect - ARTM'!$C$8+'Indirect - Villes'!L32+'Indirect - Villes'!T32+'Indirect - Prov. &amp; Féd.'!$C$10+'Indirect - Prov. &amp; Féd.'!$C$8</f>
        <v>2435.0869498058833</v>
      </c>
      <c r="G20">
        <f>'Caché - GES'!$C$9</f>
        <v>71.905050819337447</v>
      </c>
      <c r="H20">
        <f>'Caché - Congestion'!$E$13</f>
        <v>57.237326414306992</v>
      </c>
      <c r="I20">
        <f>'Caché - Accident'!$C$7</f>
        <v>38.111270532249712</v>
      </c>
      <c r="J20">
        <f>'Caché - Emprise spatiale'!M36</f>
        <v>198.49958014216935</v>
      </c>
      <c r="K20">
        <f>-'Caché - Santé'!$C$9</f>
        <v>-527.58383061384006</v>
      </c>
      <c r="L20" s="54"/>
      <c r="M20" s="54"/>
      <c r="N20" s="54"/>
      <c r="O20" s="54"/>
      <c r="P20" s="366"/>
      <c r="S20" s="53"/>
      <c r="T20" s="16"/>
      <c r="V20" s="292"/>
      <c r="W20" s="292"/>
    </row>
    <row r="21" spans="1:23">
      <c r="A21" s="502" t="s">
        <v>403</v>
      </c>
      <c r="B21" s="502">
        <f>'Clés de répartition'!G113</f>
        <v>18.113014198330902</v>
      </c>
      <c r="C21" s="502">
        <f>'Clés de répartition'!C113</f>
        <v>58.3999207578049</v>
      </c>
      <c r="D21">
        <f>'Privé&amp;Indirect - ARTM'!$B$8</f>
        <v>575.85555077116078</v>
      </c>
      <c r="E21">
        <f xml:space="preserve"> 'Caché - Accident'!$C$6</f>
        <v>3.3660695771362823</v>
      </c>
      <c r="F21" s="54">
        <f>'Privé&amp;Indirect - ARTM'!$C$8+'Indirect - Villes'!L33+'Indirect - Villes'!T33+'Indirect - Prov. &amp; Féd.'!$C$10+'Indirect - Prov. &amp; Féd.'!$C$8</f>
        <v>2542.0644378314214</v>
      </c>
      <c r="G21">
        <f>'Caché - GES'!$C$9</f>
        <v>71.905050819337447</v>
      </c>
      <c r="H21">
        <f>'Caché - Congestion'!$E$13</f>
        <v>57.237326414306992</v>
      </c>
      <c r="I21">
        <f>'Caché - Accident'!$C$7</f>
        <v>38.111270532249712</v>
      </c>
      <c r="J21">
        <f>'Caché - Emprise spatiale'!M37</f>
        <v>12.299498345849702</v>
      </c>
      <c r="K21">
        <f>-'Caché - Santé'!$C$9</f>
        <v>-527.58383061384006</v>
      </c>
      <c r="L21" s="54"/>
      <c r="M21" s="54"/>
      <c r="N21" s="54"/>
      <c r="O21" s="54"/>
      <c r="P21" s="366"/>
      <c r="S21" s="53"/>
      <c r="T21" s="16"/>
      <c r="V21" s="292"/>
      <c r="W21" s="292"/>
    </row>
    <row r="22" spans="1:23">
      <c r="A22" s="502" t="s">
        <v>168</v>
      </c>
      <c r="B22" s="502">
        <f>'Clés de répartition'!G114</f>
        <v>11.6900931904506</v>
      </c>
      <c r="C22" s="502">
        <f>'Clés de répartition'!C114</f>
        <v>44.684302846441099</v>
      </c>
      <c r="D22">
        <f>'Privé&amp;Indirect - ARTM'!$B$8</f>
        <v>575.85555077116078</v>
      </c>
      <c r="E22">
        <f xml:space="preserve"> 'Caché - Accident'!$C$6</f>
        <v>3.3660695771362823</v>
      </c>
      <c r="F22" s="54">
        <f>'Privé&amp;Indirect - ARTM'!$C$8+'Indirect - Villes'!L34+'Indirect - Villes'!T34+'Indirect - Prov. &amp; Féd.'!$C$10+'Indirect - Prov. &amp; Féd.'!$C$8</f>
        <v>2518.1799108885639</v>
      </c>
      <c r="G22">
        <f>'Caché - GES'!$C$9</f>
        <v>71.905050819337447</v>
      </c>
      <c r="H22">
        <f>'Caché - Congestion'!$E$13</f>
        <v>57.237326414306992</v>
      </c>
      <c r="I22">
        <f>'Caché - Accident'!$C$7</f>
        <v>38.111270532249712</v>
      </c>
      <c r="J22">
        <f>'Caché - Emprise spatiale'!M38</f>
        <v>156.41979884181833</v>
      </c>
      <c r="K22">
        <f>-'Caché - Santé'!$C$9</f>
        <v>-527.58383061384006</v>
      </c>
      <c r="L22" s="54"/>
      <c r="M22" s="54"/>
      <c r="N22" s="54"/>
      <c r="O22" s="54"/>
      <c r="P22" s="366"/>
      <c r="S22" s="53"/>
      <c r="T22" s="16"/>
      <c r="V22" s="292"/>
      <c r="W22" s="292"/>
    </row>
    <row r="23" spans="1:23">
      <c r="A23" s="502" t="s">
        <v>167</v>
      </c>
      <c r="B23" s="502">
        <f>'Clés de répartition'!G115</f>
        <v>12.128002373344399</v>
      </c>
      <c r="C23" s="502">
        <f>'Clés de répartition'!C115</f>
        <v>44.026304574789798</v>
      </c>
      <c r="D23">
        <f>'Privé&amp;Indirect - ARTM'!$B$8</f>
        <v>575.85555077116078</v>
      </c>
      <c r="E23">
        <f xml:space="preserve"> 'Caché - Accident'!$C$6</f>
        <v>3.3660695771362823</v>
      </c>
      <c r="F23" s="54">
        <f>'Privé&amp;Indirect - ARTM'!$C$8+'Indirect - Villes'!L35+'Indirect - Villes'!T35+'Indirect - Prov. &amp; Féd.'!$C$10+'Indirect - Prov. &amp; Féd.'!$C$8</f>
        <v>2505.3394245932059</v>
      </c>
      <c r="G23">
        <f>'Caché - GES'!$C$9</f>
        <v>71.905050819337447</v>
      </c>
      <c r="H23">
        <f>'Caché - Congestion'!$E$13</f>
        <v>57.237326414306992</v>
      </c>
      <c r="I23">
        <f>'Caché - Accident'!$C$7</f>
        <v>38.111270532249712</v>
      </c>
      <c r="J23">
        <f>'Caché - Emprise spatiale'!M39</f>
        <v>168.31691912994256</v>
      </c>
      <c r="K23">
        <f>-'Caché - Santé'!$C$9</f>
        <v>-527.58383061384006</v>
      </c>
      <c r="L23" s="54"/>
      <c r="M23" s="54"/>
      <c r="N23" s="54"/>
      <c r="O23" s="54"/>
      <c r="P23" s="366"/>
      <c r="R23" s="54"/>
      <c r="S23" s="53"/>
      <c r="T23" s="16"/>
      <c r="V23" s="292"/>
      <c r="W23" s="292"/>
    </row>
    <row r="24" spans="1:23">
      <c r="A24" s="502" t="s">
        <v>170</v>
      </c>
      <c r="B24" s="502">
        <f>'Clés de répartition'!G116</f>
        <v>9.8612753802830504</v>
      </c>
      <c r="C24" s="502">
        <f>'Clés de répartition'!C116</f>
        <v>36.975024114784802</v>
      </c>
      <c r="D24">
        <f>'Privé&amp;Indirect - ARTM'!$B$8</f>
        <v>575.85555077116078</v>
      </c>
      <c r="E24">
        <f xml:space="preserve"> 'Caché - Accident'!$C$6</f>
        <v>3.3660695771362823</v>
      </c>
      <c r="F24" s="54">
        <f>'Privé&amp;Indirect - ARTM'!$C$8+'Indirect - Villes'!L36+'Indirect - Villes'!T36+'Indirect - Prov. &amp; Féd.'!$C$10+'Indirect - Prov. &amp; Féd.'!$C$8</f>
        <v>2436.8636690360845</v>
      </c>
      <c r="G24">
        <f>'Caché - GES'!$C$9</f>
        <v>71.905050819337447</v>
      </c>
      <c r="H24">
        <f>'Caché - Congestion'!$E$13</f>
        <v>57.237326414306992</v>
      </c>
      <c r="I24">
        <f>'Caché - Accident'!$C$7</f>
        <v>38.111270532249712</v>
      </c>
      <c r="J24">
        <f>'Caché - Emprise spatiale'!M40</f>
        <v>176.97468510085125</v>
      </c>
      <c r="K24">
        <f>-'Caché - Santé'!$C$9</f>
        <v>-527.58383061384006</v>
      </c>
      <c r="L24" s="54"/>
      <c r="M24" s="54"/>
      <c r="N24" s="54"/>
      <c r="O24" s="54"/>
      <c r="P24" s="366"/>
      <c r="S24" s="53"/>
      <c r="T24" s="16"/>
      <c r="V24" s="292"/>
      <c r="W24" s="292"/>
    </row>
    <row r="25" spans="1:23">
      <c r="A25" s="502" t="s">
        <v>171</v>
      </c>
      <c r="B25" s="502">
        <f>'Clés de répartition'!G117</f>
        <v>11.1490426253573</v>
      </c>
      <c r="C25" s="502">
        <f>'Clés de répartition'!C117</f>
        <v>45.162151655863198</v>
      </c>
      <c r="D25">
        <f>'Privé&amp;Indirect - ARTM'!$B$8</f>
        <v>575.85555077116078</v>
      </c>
      <c r="E25">
        <f xml:space="preserve"> 'Caché - Accident'!$C$6</f>
        <v>3.3660695771362823</v>
      </c>
      <c r="F25" s="54">
        <f>'Privé&amp;Indirect - ARTM'!$C$8+'Indirect - Villes'!L37+'Indirect - Villes'!T37+'Indirect - Prov. &amp; Féd.'!$C$10+'Indirect - Prov. &amp; Féd.'!$C$8</f>
        <v>2460.2320403006584</v>
      </c>
      <c r="G25">
        <f>'Caché - GES'!$C$9</f>
        <v>71.905050819337447</v>
      </c>
      <c r="H25">
        <f>'Caché - Congestion'!$E$13</f>
        <v>57.237326414306992</v>
      </c>
      <c r="I25">
        <f>'Caché - Accident'!$C$7</f>
        <v>38.111270532249712</v>
      </c>
      <c r="J25">
        <f>'Caché - Emprise spatiale'!M41</f>
        <v>142.20960329472095</v>
      </c>
      <c r="K25">
        <f>-'Caché - Santé'!$C$9</f>
        <v>-527.58383061384006</v>
      </c>
      <c r="L25" s="54"/>
      <c r="M25" s="54"/>
      <c r="N25" s="54"/>
      <c r="O25" s="54"/>
      <c r="P25" s="366"/>
      <c r="R25" s="54"/>
      <c r="S25" s="53"/>
      <c r="T25" s="16"/>
      <c r="V25" s="292"/>
      <c r="W25" s="292"/>
    </row>
    <row r="26" spans="1:23">
      <c r="A26" s="502" t="s">
        <v>172</v>
      </c>
      <c r="B26" s="502">
        <f>'Clés de répartition'!G118</f>
        <v>5.2886250128482502</v>
      </c>
      <c r="C26" s="502">
        <f>'Clés de répartition'!C118</f>
        <v>27.416927167752899</v>
      </c>
      <c r="D26">
        <f>'Privé&amp;Indirect - ARTM'!$B$8</f>
        <v>575.85555077116078</v>
      </c>
      <c r="E26">
        <f xml:space="preserve"> 'Caché - Accident'!$C$6</f>
        <v>3.3660695771362823</v>
      </c>
      <c r="F26" s="54">
        <f>'Privé&amp;Indirect - ARTM'!$C$8+'Indirect - Villes'!L38+'Indirect - Villes'!T38+'Indirect - Prov. &amp; Féd.'!$C$10+'Indirect - Prov. &amp; Féd.'!$C$8</f>
        <v>2459.616640847576</v>
      </c>
      <c r="G26">
        <f>'Caché - GES'!$C$9</f>
        <v>71.905050819337447</v>
      </c>
      <c r="H26">
        <f>'Caché - Congestion'!$E$13</f>
        <v>57.237326414306992</v>
      </c>
      <c r="I26">
        <f>'Caché - Accident'!$C$7</f>
        <v>38.111270532249712</v>
      </c>
      <c r="J26">
        <f>'Caché - Emprise spatiale'!M42</f>
        <v>524.9587817827753</v>
      </c>
      <c r="K26">
        <f>-'Caché - Santé'!$C$9</f>
        <v>-527.58383061384006</v>
      </c>
      <c r="L26" s="54"/>
      <c r="M26" s="54"/>
      <c r="N26" s="54"/>
      <c r="O26" s="54"/>
      <c r="P26" s="366"/>
      <c r="S26" s="53"/>
      <c r="T26" s="16"/>
      <c r="V26" s="292"/>
      <c r="W26" s="292"/>
    </row>
    <row r="27" spans="1:23">
      <c r="A27" s="502" t="s">
        <v>173</v>
      </c>
      <c r="B27" s="502">
        <f>'Clés de répartition'!G119</f>
        <v>18.1618326151963</v>
      </c>
      <c r="C27" s="502">
        <f>'Clés de répartition'!C119</f>
        <v>60.674173197119202</v>
      </c>
      <c r="D27">
        <f>'Privé&amp;Indirect - ARTM'!$B$8</f>
        <v>575.85555077116078</v>
      </c>
      <c r="E27">
        <f xml:space="preserve"> 'Caché - Accident'!$C$6</f>
        <v>3.3660695771362823</v>
      </c>
      <c r="F27" s="54">
        <f>'Privé&amp;Indirect - ARTM'!$C$8+'Indirect - Villes'!L39+'Indirect - Villes'!T39+'Indirect - Prov. &amp; Féd.'!$C$10+'Indirect - Prov. &amp; Féd.'!$C$8</f>
        <v>2499.3916092355498</v>
      </c>
      <c r="G27">
        <f>'Caché - GES'!$C$9</f>
        <v>71.905050819337447</v>
      </c>
      <c r="H27">
        <f>'Caché - Congestion'!$E$13</f>
        <v>57.237326414306992</v>
      </c>
      <c r="I27">
        <f>'Caché - Accident'!$C$7</f>
        <v>38.111270532249712</v>
      </c>
      <c r="J27">
        <f>'Caché - Emprise spatiale'!M43</f>
        <v>58.837525647210306</v>
      </c>
      <c r="K27">
        <f>-'Caché - Santé'!$C$9</f>
        <v>-527.58383061384006</v>
      </c>
      <c r="L27" s="54"/>
      <c r="M27" s="54"/>
      <c r="N27" s="54"/>
      <c r="O27" s="54"/>
      <c r="P27" s="366"/>
      <c r="R27" s="53"/>
      <c r="S27" s="53"/>
      <c r="T27" s="16"/>
      <c r="V27" s="292"/>
      <c r="W27" s="292"/>
    </row>
    <row r="28" spans="1:23">
      <c r="A28" s="502" t="s">
        <v>350</v>
      </c>
      <c r="B28" s="502">
        <f>'Clés de répartition'!G120</f>
        <v>6.6422429588795104</v>
      </c>
      <c r="C28" s="502">
        <f>'Clés de répartition'!C120</f>
        <v>30.6328930038839</v>
      </c>
      <c r="D28">
        <f>'Privé&amp;Indirect - ARTM'!$B$8</f>
        <v>575.85555077116078</v>
      </c>
      <c r="E28">
        <f xml:space="preserve"> 'Caché - Accident'!$C$6</f>
        <v>3.3660695771362823</v>
      </c>
      <c r="F28" s="54">
        <f>'Privé&amp;Indirect - ARTM'!$C$8+'Indirect - Villes'!L40+'Indirect - Villes'!T40+'Indirect - Prov. &amp; Féd.'!$C$10+'Indirect - Prov. &amp; Féd.'!$C$8</f>
        <v>2436.7190073709448</v>
      </c>
      <c r="G28">
        <f>'Caché - GES'!$C$9</f>
        <v>71.905050819337447</v>
      </c>
      <c r="H28">
        <f>'Caché - Congestion'!$E$13</f>
        <v>57.237326414306992</v>
      </c>
      <c r="I28">
        <f>'Caché - Accident'!$C$7</f>
        <v>38.111270532249712</v>
      </c>
      <c r="J28">
        <f>'Caché - Emprise spatiale'!M44</f>
        <v>527.98410245167781</v>
      </c>
      <c r="K28">
        <f>-'Caché - Santé'!$C$9</f>
        <v>-527.58383061384006</v>
      </c>
      <c r="L28" s="54"/>
      <c r="M28" s="54"/>
      <c r="N28" s="54"/>
      <c r="O28" s="54"/>
      <c r="P28" s="366"/>
      <c r="S28" s="53"/>
      <c r="T28" s="16"/>
      <c r="V28" s="292"/>
      <c r="W28" s="292"/>
    </row>
    <row r="29" spans="1:23">
      <c r="A29" s="502" t="s">
        <v>174</v>
      </c>
      <c r="B29" s="502">
        <f>'Clés de répartition'!G121</f>
        <v>14.790011153325301</v>
      </c>
      <c r="C29" s="502">
        <f>'Clés de répartition'!C121</f>
        <v>51.237668831844701</v>
      </c>
      <c r="D29">
        <f>'Privé&amp;Indirect - ARTM'!$B$8</f>
        <v>575.85555077116078</v>
      </c>
      <c r="E29">
        <f xml:space="preserve"> 'Caché - Accident'!$C$6</f>
        <v>3.3660695771362823</v>
      </c>
      <c r="F29" s="54">
        <f>'Privé&amp;Indirect - ARTM'!$C$8+'Indirect - Villes'!L41+'Indirect - Villes'!T41+'Indirect - Prov. &amp; Féd.'!$C$10+'Indirect - Prov. &amp; Féd.'!$C$8</f>
        <v>2489.0642318122514</v>
      </c>
      <c r="G29">
        <f>'Caché - GES'!$C$9</f>
        <v>71.905050819337447</v>
      </c>
      <c r="H29">
        <f>'Caché - Congestion'!$E$13</f>
        <v>57.237326414306992</v>
      </c>
      <c r="I29">
        <f>'Caché - Accident'!$C$7</f>
        <v>38.111270532249712</v>
      </c>
      <c r="J29">
        <f>'Caché - Emprise spatiale'!M45</f>
        <v>111.38411752417355</v>
      </c>
      <c r="K29">
        <f>-'Caché - Santé'!$C$9</f>
        <v>-527.58383061384006</v>
      </c>
      <c r="L29" s="54"/>
      <c r="M29" s="54"/>
      <c r="N29" s="54"/>
      <c r="O29" s="54"/>
      <c r="P29" s="366"/>
      <c r="S29" s="53"/>
      <c r="T29" s="16"/>
      <c r="V29" s="292"/>
      <c r="W29" s="292"/>
    </row>
    <row r="30" spans="1:23">
      <c r="A30" s="502" t="s">
        <v>175</v>
      </c>
      <c r="B30" s="502">
        <f>'Clés de répartition'!G122</f>
        <v>7.6853586828372897</v>
      </c>
      <c r="C30" s="502">
        <f>'Clés de répartition'!C122</f>
        <v>34.461566949531999</v>
      </c>
      <c r="D30">
        <f>'Privé&amp;Indirect - ARTM'!$B$8</f>
        <v>575.85555077116078</v>
      </c>
      <c r="E30">
        <f xml:space="preserve"> 'Caché - Accident'!$C$6</f>
        <v>3.3660695771362823</v>
      </c>
      <c r="F30" s="54">
        <f>'Privé&amp;Indirect - ARTM'!$C$8+'Indirect - Villes'!L42+'Indirect - Villes'!T42+'Indirect - Prov. &amp; Féd.'!$C$10+'Indirect - Prov. &amp; Féd.'!$C$8</f>
        <v>2439.9007498529991</v>
      </c>
      <c r="G30">
        <f>'Caché - GES'!$C$9</f>
        <v>71.905050819337447</v>
      </c>
      <c r="H30">
        <f>'Caché - Congestion'!$E$13</f>
        <v>57.237326414306992</v>
      </c>
      <c r="I30">
        <f>'Caché - Accident'!$C$7</f>
        <v>38.111270532249712</v>
      </c>
      <c r="J30">
        <f>'Caché - Emprise spatiale'!M46</f>
        <v>391.16062875646617</v>
      </c>
      <c r="K30">
        <f>-'Caché - Santé'!$C$9</f>
        <v>-527.58383061384006</v>
      </c>
      <c r="L30" s="54"/>
      <c r="M30" s="54"/>
      <c r="N30" s="54"/>
      <c r="O30" s="54"/>
      <c r="P30" s="366"/>
      <c r="S30" s="53"/>
      <c r="T30" s="16"/>
      <c r="V30" s="292"/>
      <c r="W30" s="292"/>
    </row>
    <row r="31" spans="1:23">
      <c r="A31" s="502" t="s">
        <v>176</v>
      </c>
      <c r="B31" s="502">
        <f>'Clés de répartition'!G123</f>
        <v>10.6299106113447</v>
      </c>
      <c r="C31" s="502">
        <f>'Clés de répartition'!C123</f>
        <v>40.983629986319599</v>
      </c>
      <c r="D31">
        <f>'Privé&amp;Indirect - ARTM'!$B$8</f>
        <v>575.85555077116078</v>
      </c>
      <c r="E31">
        <f xml:space="preserve"> 'Caché - Accident'!$C$6</f>
        <v>3.3660695771362823</v>
      </c>
      <c r="F31" s="54">
        <f>'Privé&amp;Indirect - ARTM'!$C$8+'Indirect - Villes'!L43+'Indirect - Villes'!T43+'Indirect - Prov. &amp; Féd.'!$C$10+'Indirect - Prov. &amp; Féd.'!$C$8</f>
        <v>2505.1574381442852</v>
      </c>
      <c r="G31">
        <f>'Caché - GES'!$C$9</f>
        <v>71.905050819337447</v>
      </c>
      <c r="H31">
        <f>'Caché - Congestion'!$E$13</f>
        <v>57.237326414306992</v>
      </c>
      <c r="I31">
        <f>'Caché - Accident'!$C$7</f>
        <v>38.111270532249712</v>
      </c>
      <c r="J31">
        <f>'Caché - Emprise spatiale'!M47</f>
        <v>148.69133176583057</v>
      </c>
      <c r="K31">
        <f>-'Caché - Santé'!$C$9</f>
        <v>-527.58383061384006</v>
      </c>
      <c r="L31" s="54"/>
      <c r="M31" s="54"/>
      <c r="N31" s="54"/>
      <c r="O31" s="54"/>
      <c r="P31" s="366"/>
      <c r="S31" s="53"/>
      <c r="T31" s="16"/>
      <c r="V31" s="292"/>
      <c r="W31" s="292"/>
    </row>
    <row r="32" spans="1:23">
      <c r="A32" s="502" t="s">
        <v>177</v>
      </c>
      <c r="B32" s="502">
        <f>'Clés de répartition'!G124</f>
        <v>9.1670539087158396</v>
      </c>
      <c r="C32" s="502">
        <f>'Clés de répartition'!C124</f>
        <v>41.107974294592097</v>
      </c>
      <c r="D32">
        <f>'Privé&amp;Indirect - ARTM'!$B$8</f>
        <v>575.85555077116078</v>
      </c>
      <c r="E32">
        <f xml:space="preserve"> 'Caché - Accident'!$C$6</f>
        <v>3.3660695771362823</v>
      </c>
      <c r="F32" s="54">
        <f>'Privé&amp;Indirect - ARTM'!$C$8+'Indirect - Villes'!L44+'Indirect - Villes'!T44+'Indirect - Prov. &amp; Féd.'!$C$10+'Indirect - Prov. &amp; Féd.'!$C$8</f>
        <v>2473.4314133668904</v>
      </c>
      <c r="G32">
        <f>'Caché - GES'!$C$9</f>
        <v>71.905050819337447</v>
      </c>
      <c r="H32">
        <f>'Caché - Congestion'!$E$13</f>
        <v>57.237326414306992</v>
      </c>
      <c r="I32">
        <f>'Caché - Accident'!$C$7</f>
        <v>38.111270532249712</v>
      </c>
      <c r="J32">
        <f>'Caché - Emprise spatiale'!M48</f>
        <v>192.93722978441247</v>
      </c>
      <c r="K32">
        <f>-'Caché - Santé'!$C$9</f>
        <v>-527.58383061384006</v>
      </c>
      <c r="L32" s="54"/>
      <c r="M32" s="54"/>
      <c r="N32" s="54"/>
      <c r="O32" s="54"/>
      <c r="P32" s="366"/>
      <c r="S32" s="53"/>
      <c r="T32" s="16"/>
      <c r="V32" s="292"/>
      <c r="W32" s="292"/>
    </row>
    <row r="33" spans="1:23">
      <c r="A33" s="502" t="s">
        <v>351</v>
      </c>
      <c r="B33" s="502">
        <f>'Clés de répartition'!G125</f>
        <v>8.0882115761286197</v>
      </c>
      <c r="C33" s="502">
        <f>'Clés de répartition'!C125</f>
        <v>31.752419026497101</v>
      </c>
      <c r="D33">
        <f>'Privé&amp;Indirect - ARTM'!$B$8</f>
        <v>575.85555077116078</v>
      </c>
      <c r="E33">
        <f xml:space="preserve"> 'Caché - Accident'!$C$6</f>
        <v>3.3660695771362823</v>
      </c>
      <c r="F33" s="54">
        <f>'Privé&amp;Indirect - ARTM'!$C$8+'Indirect - Villes'!L45+'Indirect - Villes'!T45+'Indirect - Prov. &amp; Féd.'!$C$10+'Indirect - Prov. &amp; Féd.'!$C$8</f>
        <v>2484.6154179788828</v>
      </c>
      <c r="G33">
        <f>'Caché - GES'!$C$9</f>
        <v>71.905050819337447</v>
      </c>
      <c r="H33">
        <f>'Caché - Congestion'!$E$13</f>
        <v>57.237326414306992</v>
      </c>
      <c r="I33">
        <f>'Caché - Accident'!$C$7</f>
        <v>38.111270532249712</v>
      </c>
      <c r="J33">
        <f>'Caché - Emprise spatiale'!M49</f>
        <v>229.15141189237923</v>
      </c>
      <c r="K33">
        <f>-'Caché - Santé'!$C$9</f>
        <v>-527.58383061384006</v>
      </c>
      <c r="L33" s="54"/>
      <c r="M33" s="54"/>
      <c r="N33" s="54"/>
      <c r="O33" s="54"/>
      <c r="P33" s="366"/>
      <c r="S33" s="53"/>
      <c r="T33" s="16"/>
      <c r="V33" s="292"/>
      <c r="W33" s="292"/>
    </row>
    <row r="34" spans="1:23">
      <c r="A34" s="502" t="s">
        <v>856</v>
      </c>
      <c r="B34" s="502">
        <f>'Clés de répartition'!G126</f>
        <v>9.6845125127778804</v>
      </c>
      <c r="C34" s="502">
        <f>'Clés de répartition'!C126</f>
        <v>37.1325202027841</v>
      </c>
      <c r="D34">
        <f>'Privé&amp;Indirect - ARTM'!$B$8</f>
        <v>575.85555077116078</v>
      </c>
      <c r="E34">
        <f xml:space="preserve"> 'Caché - Accident'!$C$6</f>
        <v>3.3660695771362823</v>
      </c>
      <c r="F34" s="54">
        <f>'Privé&amp;Indirect - ARTM'!$C$8+'Indirect - Villes'!L46+'Indirect - Villes'!T46+'Indirect - Prov. &amp; Féd.'!$C$10+'Indirect - Prov. &amp; Féd.'!$C$8</f>
        <v>2442.6059360012046</v>
      </c>
      <c r="G34">
        <f>'Caché - GES'!$C$9</f>
        <v>71.905050819337447</v>
      </c>
      <c r="H34">
        <f>'Caché - Congestion'!$E$13</f>
        <v>57.237326414306992</v>
      </c>
      <c r="I34">
        <f>'Caché - Accident'!$C$7</f>
        <v>38.111270532249712</v>
      </c>
      <c r="J34">
        <f>'Caché - Emprise spatiale'!M50</f>
        <v>224.84692834142422</v>
      </c>
      <c r="K34">
        <f>-'Caché - Santé'!$C$9</f>
        <v>-527.58383061384006</v>
      </c>
      <c r="L34" s="54"/>
      <c r="M34" s="54"/>
      <c r="N34" s="54"/>
      <c r="O34" s="54"/>
      <c r="P34" s="366"/>
      <c r="S34" s="53"/>
      <c r="T34" s="16"/>
      <c r="V34" s="292"/>
      <c r="W34" s="292"/>
    </row>
    <row r="35" spans="1:23">
      <c r="A35" s="502" t="s">
        <v>178</v>
      </c>
      <c r="B35" s="502">
        <f>'Clés de répartition'!G127</f>
        <v>6.5982079647689904</v>
      </c>
      <c r="C35" s="502">
        <f>'Clés de répartition'!C127</f>
        <v>28.2227941415529</v>
      </c>
      <c r="D35">
        <f>'Privé&amp;Indirect - ARTM'!$B$8</f>
        <v>575.85555077116078</v>
      </c>
      <c r="E35">
        <f xml:space="preserve"> 'Caché - Accident'!$C$6</f>
        <v>3.3660695771362823</v>
      </c>
      <c r="F35" s="54">
        <f>'Privé&amp;Indirect - ARTM'!$C$8+'Indirect - Villes'!L47+'Indirect - Villes'!T47+'Indirect - Prov. &amp; Féd.'!$C$10+'Indirect - Prov. &amp; Féd.'!$C$8</f>
        <v>2782.0877083344826</v>
      </c>
      <c r="G35">
        <f>'Caché - GES'!$C$9</f>
        <v>71.905050819337447</v>
      </c>
      <c r="H35">
        <f>'Caché - Congestion'!$E$13</f>
        <v>57.237326414306992</v>
      </c>
      <c r="I35">
        <f>'Caché - Accident'!$C$7</f>
        <v>38.111270532249712</v>
      </c>
      <c r="J35">
        <f>'Caché - Emprise spatiale'!M51</f>
        <v>529.14485822872598</v>
      </c>
      <c r="K35">
        <f>-'Caché - Santé'!$C$9</f>
        <v>-527.58383061384006</v>
      </c>
      <c r="L35" s="54"/>
      <c r="M35" s="54"/>
      <c r="N35" s="54"/>
      <c r="O35" s="54"/>
      <c r="P35" s="366"/>
    </row>
    <row r="36" spans="1:23">
      <c r="A36" s="502" t="s">
        <v>179</v>
      </c>
      <c r="B36" s="502">
        <f>'Clés de répartition'!G128</f>
        <v>8.3914980727162902</v>
      </c>
      <c r="C36" s="502">
        <f>'Clés de répartition'!C128</f>
        <v>34.786895212717603</v>
      </c>
      <c r="D36">
        <f>'Privé&amp;Indirect - ARTM'!$B$8</f>
        <v>575.85555077116078</v>
      </c>
      <c r="E36">
        <f xml:space="preserve"> 'Caché - Accident'!$C$6</f>
        <v>3.3660695771362823</v>
      </c>
      <c r="F36" s="54">
        <f>'Privé&amp;Indirect - ARTM'!$C$8+'Indirect - Villes'!L48+'Indirect - Villes'!T48+'Indirect - Prov. &amp; Féd.'!$C$10+'Indirect - Prov. &amp; Féd.'!$C$8</f>
        <v>2426.7935037918874</v>
      </c>
      <c r="G36">
        <f>'Caché - GES'!$C$9</f>
        <v>71.905050819337447</v>
      </c>
      <c r="H36">
        <f>'Caché - Congestion'!$E$13</f>
        <v>57.237326414306992</v>
      </c>
      <c r="I36">
        <f>'Caché - Accident'!$C$7</f>
        <v>38.111270532249712</v>
      </c>
      <c r="J36">
        <f>'Caché - Emprise spatiale'!M52</f>
        <v>196.51414624662289</v>
      </c>
      <c r="K36">
        <f>-'Caché - Santé'!$C$9</f>
        <v>-527.58383061384006</v>
      </c>
      <c r="L36" s="54"/>
      <c r="M36" s="54"/>
      <c r="N36" s="54"/>
      <c r="O36" s="54"/>
      <c r="P36" s="366"/>
      <c r="Q36" s="21"/>
      <c r="R36" s="21"/>
      <c r="S36" s="53"/>
      <c r="T36" s="16"/>
    </row>
  </sheetData>
  <conditionalFormatting sqref="O2:O17">
    <cfRule type="cellIs" dxfId="5" priority="3" operator="greaterThan">
      <formula>$R$8+$R$10</formula>
    </cfRule>
  </conditionalFormatting>
  <conditionalFormatting sqref="O2:O36">
    <cfRule type="dataBar" priority="11">
      <dataBar>
        <cfvo type="min"/>
        <cfvo type="max"/>
        <color rgb="FFFF555A"/>
      </dataBar>
      <extLst>
        <ext xmlns:x14="http://schemas.microsoft.com/office/spreadsheetml/2009/9/main" uri="{B025F937-C7B1-47D3-B67F-A62EFF666E3E}">
          <x14:id>{FAE5FF7A-F4B4-C345-B9D3-8E978C852DC0}</x14:id>
        </ext>
      </extLst>
    </cfRule>
  </conditionalFormatting>
  <conditionalFormatting sqref="O18:O36">
    <cfRule type="cellIs" dxfId="4" priority="2" operator="greaterThan">
      <formula>$R$25+$R$27</formula>
    </cfRule>
  </conditionalFormatting>
  <pageMargins left="0.7" right="0.7" top="0.75" bottom="0.75" header="0.3" footer="0.3"/>
  <extLst>
    <ext xmlns:x14="http://schemas.microsoft.com/office/spreadsheetml/2009/9/main" uri="{78C0D931-6437-407d-A8EE-F0AAD7539E65}">
      <x14:conditionalFormattings>
        <x14:conditionalFormatting xmlns:xm="http://schemas.microsoft.com/office/excel/2006/main">
          <x14:cfRule type="dataBar" id="{FAE5FF7A-F4B4-C345-B9D3-8E978C852DC0}">
            <x14:dataBar minLength="0" maxLength="100" border="1" negativeBarBorderColorSameAsPositive="0">
              <x14:cfvo type="autoMin"/>
              <x14:cfvo type="autoMax"/>
              <x14:borderColor rgb="FFFF555A"/>
              <x14:negativeFillColor rgb="FFFF0000"/>
              <x14:negativeBorderColor rgb="FFFF0000"/>
              <x14:axisColor rgb="FF000000"/>
            </x14:dataBar>
          </x14:cfRule>
          <xm:sqref>O2:O36</xm:sqref>
        </x14:conditionalFormatting>
      </x14:conditionalFormatting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2E10CF-1183-9748-8E66-5D4B7DF37E82}">
  <sheetPr codeName="Sheet32">
    <tabColor rgb="FF99BFE1"/>
  </sheetPr>
  <dimension ref="A1:T38"/>
  <sheetViews>
    <sheetView zoomScale="64" zoomScaleNormal="96" workbookViewId="0">
      <selection activeCell="B3" sqref="B3:L38"/>
    </sheetView>
  </sheetViews>
  <sheetFormatPr baseColWidth="10" defaultRowHeight="16"/>
  <cols>
    <col min="1" max="1" width="38.1640625" customWidth="1"/>
    <col min="2" max="2" width="18.5" customWidth="1"/>
    <col min="3" max="3" width="10.33203125" bestFit="1" customWidth="1"/>
    <col min="4" max="4" width="15.1640625" customWidth="1"/>
    <col min="5" max="5" width="12.83203125" customWidth="1"/>
    <col min="6" max="6" width="13" customWidth="1"/>
    <col min="7" max="7" width="14.1640625" customWidth="1"/>
    <col min="8" max="8" width="13.6640625" customWidth="1"/>
    <col min="9" max="13" width="13.83203125" customWidth="1"/>
    <col min="14" max="14" width="23.6640625" customWidth="1"/>
    <col min="15" max="15" width="18.83203125" customWidth="1"/>
    <col min="16" max="16" width="13.5" customWidth="1"/>
  </cols>
  <sheetData>
    <row r="1" spans="1:20" s="114" customFormat="1">
      <c r="A1" s="590"/>
      <c r="B1" s="283"/>
      <c r="C1" s="283"/>
      <c r="D1" s="283"/>
      <c r="E1" s="283"/>
      <c r="F1" s="283"/>
      <c r="G1" s="283"/>
      <c r="H1" s="138"/>
      <c r="I1" s="138"/>
      <c r="J1" s="138"/>
      <c r="K1" s="138"/>
      <c r="L1" s="138"/>
      <c r="M1" s="138"/>
      <c r="N1" s="138"/>
      <c r="O1" s="138"/>
      <c r="P1" s="138"/>
      <c r="Q1" s="138"/>
    </row>
    <row r="2" spans="1:20" ht="52" thickBot="1">
      <c r="A2" s="589" t="s">
        <v>306</v>
      </c>
      <c r="B2" s="283" t="s">
        <v>618</v>
      </c>
      <c r="C2" s="283" t="s">
        <v>458</v>
      </c>
      <c r="D2" s="283" t="s">
        <v>459</v>
      </c>
      <c r="E2" s="283" t="s">
        <v>460</v>
      </c>
      <c r="F2" s="283" t="s">
        <v>578</v>
      </c>
      <c r="G2" s="283" t="s">
        <v>462</v>
      </c>
      <c r="H2" s="138" t="s">
        <v>465</v>
      </c>
      <c r="I2" s="138" t="s">
        <v>464</v>
      </c>
      <c r="J2" s="138" t="s">
        <v>572</v>
      </c>
      <c r="K2" s="138" t="s">
        <v>570</v>
      </c>
      <c r="L2" s="138" t="s">
        <v>571</v>
      </c>
      <c r="M2" s="366"/>
      <c r="N2" s="21"/>
      <c r="O2" s="21"/>
      <c r="P2" s="53"/>
      <c r="Q2" s="16"/>
    </row>
    <row r="3" spans="1:20" ht="17">
      <c r="A3" s="298" t="s">
        <v>202</v>
      </c>
      <c r="B3" s="54">
        <v>575.85555077116078</v>
      </c>
      <c r="C3" s="54">
        <v>3.3660695771362823</v>
      </c>
      <c r="D3" s="282">
        <v>4412.430117475833</v>
      </c>
      <c r="E3" s="54">
        <v>2543.3237772488224</v>
      </c>
      <c r="F3" s="54">
        <v>433.14535281484575</v>
      </c>
      <c r="G3" s="54">
        <v>-527.58383061384006</v>
      </c>
      <c r="H3" s="54">
        <v>4991.6517378241297</v>
      </c>
      <c r="I3" s="54">
        <v>2448.8852994498284</v>
      </c>
      <c r="J3" s="54">
        <v>0.49059618500494628</v>
      </c>
      <c r="K3" s="54">
        <v>1.03808446956941</v>
      </c>
      <c r="L3" s="54">
        <v>0.50928028048363583</v>
      </c>
      <c r="M3" s="366"/>
      <c r="P3" s="53"/>
      <c r="Q3" s="16"/>
      <c r="S3" s="292"/>
      <c r="T3" s="292"/>
    </row>
    <row r="4" spans="1:20">
      <c r="A4" s="19" t="e" vm="1">
        <v>#VALUE!</v>
      </c>
      <c r="B4" s="54">
        <v>575.85555077116078</v>
      </c>
      <c r="C4" s="54">
        <v>3.3660695771362823</v>
      </c>
      <c r="D4" s="282">
        <v>6777.9820006922801</v>
      </c>
      <c r="E4" s="54">
        <v>5988.5582368519463</v>
      </c>
      <c r="F4" s="54">
        <v>333.94831316485124</v>
      </c>
      <c r="G4" s="54">
        <v>-527.58383061384006</v>
      </c>
      <c r="H4" s="54">
        <v>7357.2036210405768</v>
      </c>
      <c r="I4" s="54">
        <v>5794.9227194029572</v>
      </c>
      <c r="J4" s="54">
        <v>0.78765289339420841</v>
      </c>
      <c r="K4" s="54">
        <v>0.60915017224554213</v>
      </c>
      <c r="L4" s="54">
        <v>0.4797988956807816</v>
      </c>
      <c r="M4" s="366"/>
      <c r="P4" s="53"/>
      <c r="Q4" s="16"/>
      <c r="S4" s="292"/>
      <c r="T4" s="292"/>
    </row>
    <row r="5" spans="1:20">
      <c r="A5" s="19" t="e" vm="2">
        <v>#VALUE!</v>
      </c>
      <c r="B5" s="54">
        <v>575.85555077116078</v>
      </c>
      <c r="C5" s="54">
        <v>3.3660695771362823</v>
      </c>
      <c r="D5" s="282">
        <v>5455.7729342317834</v>
      </c>
      <c r="E5" s="54">
        <v>2628.578059091361</v>
      </c>
      <c r="F5" s="54">
        <v>282.21387551839905</v>
      </c>
      <c r="G5" s="54">
        <v>-527.58383061384006</v>
      </c>
      <c r="H5" s="54">
        <v>6034.9945545800801</v>
      </c>
      <c r="I5" s="54">
        <v>2383.2081039959203</v>
      </c>
      <c r="J5" s="54">
        <v>0.39489813660018219</v>
      </c>
      <c r="K5" s="54">
        <v>0.68705600556521396</v>
      </c>
      <c r="L5" s="54">
        <v>0.27131713633766741</v>
      </c>
      <c r="M5" s="366"/>
      <c r="O5" s="54"/>
      <c r="P5" s="53"/>
      <c r="Q5" s="16"/>
      <c r="S5" s="292"/>
      <c r="T5" s="292"/>
    </row>
    <row r="6" spans="1:20">
      <c r="A6" s="19" t="e" vm="3">
        <v>#VALUE!</v>
      </c>
      <c r="B6" s="54">
        <v>575.85555077116078</v>
      </c>
      <c r="C6" s="54">
        <v>3.3660695771362823</v>
      </c>
      <c r="D6" s="282">
        <v>4952.0649616624314</v>
      </c>
      <c r="E6" s="54">
        <v>2336.0431925765251</v>
      </c>
      <c r="F6" s="54">
        <v>324.02446093476772</v>
      </c>
      <c r="G6" s="54">
        <v>-527.58383061384006</v>
      </c>
      <c r="H6" s="54">
        <v>5531.2865820107281</v>
      </c>
      <c r="I6" s="54">
        <v>2132.4838228974531</v>
      </c>
      <c r="J6" s="54">
        <v>0.38553124870312805</v>
      </c>
      <c r="K6" s="54">
        <v>1.2192709696410566</v>
      </c>
      <c r="L6" s="54">
        <v>0.47006705943319027</v>
      </c>
      <c r="M6" s="366"/>
      <c r="O6" s="54"/>
      <c r="P6" s="53"/>
      <c r="Q6" s="16"/>
      <c r="S6" s="292"/>
      <c r="T6" s="292"/>
    </row>
    <row r="7" spans="1:20">
      <c r="A7" s="19" t="e" vm="4">
        <v>#VALUE!</v>
      </c>
      <c r="B7" s="54">
        <v>575.85555077116078</v>
      </c>
      <c r="C7" s="54">
        <v>3.3660695771362823</v>
      </c>
      <c r="D7" s="282">
        <v>6280.4099901696172</v>
      </c>
      <c r="E7" s="54">
        <v>2559.2741082654525</v>
      </c>
      <c r="F7" s="54">
        <v>277.56833431207338</v>
      </c>
      <c r="G7" s="54">
        <v>-527.58383061384006</v>
      </c>
      <c r="H7" s="54">
        <v>6859.6316105179139</v>
      </c>
      <c r="I7" s="54">
        <v>2309.2586119636853</v>
      </c>
      <c r="J7" s="54">
        <v>0.3366446980072349</v>
      </c>
      <c r="K7" s="54">
        <v>0.8435277008575246</v>
      </c>
      <c r="L7" s="54">
        <v>0.28396912811591851</v>
      </c>
      <c r="M7" s="366"/>
      <c r="P7" s="53"/>
      <c r="Q7" s="16"/>
      <c r="S7" s="292"/>
      <c r="T7" s="292"/>
    </row>
    <row r="8" spans="1:20">
      <c r="A8" s="19" t="e" vm="5">
        <v>#VALUE!</v>
      </c>
      <c r="B8" s="54">
        <v>575.85555077116078</v>
      </c>
      <c r="C8" s="54">
        <v>3.3660695771362823</v>
      </c>
      <c r="D8" s="282">
        <v>5449.4086827778265</v>
      </c>
      <c r="E8" s="54">
        <v>4860.0549296753543</v>
      </c>
      <c r="F8" s="54">
        <v>344.56960967165958</v>
      </c>
      <c r="G8" s="54">
        <v>-527.58383061384006</v>
      </c>
      <c r="H8" s="54">
        <v>6028.6303031261232</v>
      </c>
      <c r="I8" s="54">
        <v>4677.0407087331732</v>
      </c>
      <c r="J8" s="54">
        <v>0.77580486338794263</v>
      </c>
      <c r="K8" s="54">
        <v>0.7372888013698301</v>
      </c>
      <c r="L8" s="54">
        <v>0.57199223782418096</v>
      </c>
      <c r="M8" s="366"/>
      <c r="O8" s="54"/>
      <c r="P8" s="53"/>
      <c r="Q8" s="16"/>
      <c r="S8" s="292"/>
      <c r="T8" s="292"/>
    </row>
    <row r="9" spans="1:20">
      <c r="A9" s="19" t="e" vm="6">
        <v>#VALUE!</v>
      </c>
      <c r="B9" s="54">
        <v>575.85555077116078</v>
      </c>
      <c r="C9" s="54">
        <v>3.3660695771362823</v>
      </c>
      <c r="D9" s="282">
        <v>3825.5418495387912</v>
      </c>
      <c r="E9" s="54">
        <v>2712.598044430727</v>
      </c>
      <c r="F9" s="54">
        <v>1026.2595354967029</v>
      </c>
      <c r="G9" s="54">
        <v>-527.58383061384006</v>
      </c>
      <c r="H9" s="54">
        <v>4404.7634698870879</v>
      </c>
      <c r="I9" s="54">
        <v>3211.2737493135901</v>
      </c>
      <c r="J9" s="54">
        <v>0.72904567322792213</v>
      </c>
      <c r="K9" s="54">
        <v>1.1539966844387957</v>
      </c>
      <c r="L9" s="54">
        <v>0.8413162897094717</v>
      </c>
      <c r="M9" s="366"/>
      <c r="P9" s="53"/>
      <c r="Q9" s="16"/>
      <c r="S9" s="292"/>
      <c r="T9" s="292"/>
    </row>
    <row r="10" spans="1:20">
      <c r="A10" s="19" t="e" vm="7">
        <v>#VALUE!</v>
      </c>
      <c r="B10" s="54">
        <v>575.85555077116078</v>
      </c>
      <c r="C10" s="54">
        <v>3.3660695771362823</v>
      </c>
      <c r="D10" s="282">
        <v>6118.810785829327</v>
      </c>
      <c r="E10" s="54">
        <v>3375.6894736131371</v>
      </c>
      <c r="F10" s="54">
        <v>291.68462645345699</v>
      </c>
      <c r="G10" s="54">
        <v>-527.58383061384006</v>
      </c>
      <c r="H10" s="54">
        <v>6698.0324061776237</v>
      </c>
      <c r="I10" s="54">
        <v>3139.7902694527538</v>
      </c>
      <c r="J10" s="54">
        <v>0.46876307534088846</v>
      </c>
      <c r="K10" s="54">
        <v>0.79450009105457331</v>
      </c>
      <c r="L10" s="54">
        <v>0.37243230604135769</v>
      </c>
      <c r="M10" s="366"/>
      <c r="O10" s="53"/>
      <c r="P10" s="53"/>
      <c r="Q10" s="16"/>
      <c r="S10" s="292"/>
      <c r="T10" s="292"/>
    </row>
    <row r="11" spans="1:20">
      <c r="A11" s="19" t="e" vm="8">
        <v>#VALUE!</v>
      </c>
      <c r="B11" s="54">
        <v>575.85555077116078</v>
      </c>
      <c r="C11" s="54">
        <v>3.3660695771362823</v>
      </c>
      <c r="D11" s="282">
        <v>4344.4425921306956</v>
      </c>
      <c r="E11" s="54">
        <v>2482.0274814212876</v>
      </c>
      <c r="F11" s="54">
        <v>425.15013264987056</v>
      </c>
      <c r="G11" s="54">
        <v>-527.58383061384006</v>
      </c>
      <c r="H11" s="54">
        <v>4923.6642124789923</v>
      </c>
      <c r="I11" s="54">
        <v>2379.5937834573178</v>
      </c>
      <c r="J11" s="54">
        <v>0.48329733319876977</v>
      </c>
      <c r="K11" s="54">
        <v>1.0562875023429683</v>
      </c>
      <c r="L11" s="54">
        <v>0.51050093297354593</v>
      </c>
      <c r="M11" s="366"/>
      <c r="P11" s="53"/>
      <c r="Q11" s="16"/>
      <c r="S11" s="292"/>
      <c r="T11" s="292"/>
    </row>
    <row r="12" spans="1:20">
      <c r="A12" s="19" t="e" vm="9">
        <v>#VALUE!</v>
      </c>
      <c r="B12" s="54">
        <v>575.85555077116078</v>
      </c>
      <c r="C12" s="54">
        <v>3.3660695771362823</v>
      </c>
      <c r="D12" s="282">
        <v>5636.3130870086952</v>
      </c>
      <c r="E12" s="54">
        <v>1921.3151906980374</v>
      </c>
      <c r="F12" s="54">
        <v>273.2495295733388</v>
      </c>
      <c r="G12" s="54">
        <v>-527.58383061384006</v>
      </c>
      <c r="H12" s="54">
        <v>6215.5347073569919</v>
      </c>
      <c r="I12" s="54">
        <v>1666.9808896575362</v>
      </c>
      <c r="J12" s="54">
        <v>0.26819589434267355</v>
      </c>
      <c r="K12" s="54">
        <v>0.84003791851329457</v>
      </c>
      <c r="L12" s="54">
        <v>0.22529472083743096</v>
      </c>
      <c r="M12" s="366"/>
      <c r="P12" s="53"/>
      <c r="Q12" s="16"/>
      <c r="S12" s="292"/>
      <c r="T12" s="292"/>
    </row>
    <row r="13" spans="1:20">
      <c r="A13" s="19" t="e" vm="10">
        <v>#VALUE!</v>
      </c>
      <c r="B13" s="54">
        <v>575.85555077116078</v>
      </c>
      <c r="C13" s="54">
        <v>3.3660695771362823</v>
      </c>
      <c r="D13" s="282">
        <v>4578.8098848218178</v>
      </c>
      <c r="E13" s="54">
        <v>2637.0434464737637</v>
      </c>
      <c r="F13" s="54">
        <v>775.01528275060002</v>
      </c>
      <c r="G13" s="54">
        <v>-527.58383061384006</v>
      </c>
      <c r="H13" s="54">
        <v>5158.0315051701145</v>
      </c>
      <c r="I13" s="54">
        <v>2884.4748986105233</v>
      </c>
      <c r="J13" s="54">
        <v>0.55922010086973906</v>
      </c>
      <c r="K13" s="54">
        <v>1.2194001321917864</v>
      </c>
      <c r="L13" s="54">
        <v>0.68191306492486392</v>
      </c>
      <c r="M13" s="366"/>
      <c r="P13" s="53"/>
      <c r="Q13" s="16"/>
      <c r="S13" s="292"/>
      <c r="T13" s="292"/>
    </row>
    <row r="14" spans="1:20">
      <c r="A14" s="19" t="e" vm="11">
        <v>#VALUE!</v>
      </c>
      <c r="B14" s="54">
        <v>575.85555077116078</v>
      </c>
      <c r="C14" s="54">
        <v>3.3660695771362823</v>
      </c>
      <c r="D14" s="282">
        <v>4459.8943341119884</v>
      </c>
      <c r="E14" s="54">
        <v>3663.5942307754922</v>
      </c>
      <c r="F14" s="54">
        <v>1014.2845866083092</v>
      </c>
      <c r="G14" s="54">
        <v>-527.58383061384006</v>
      </c>
      <c r="H14" s="54">
        <v>5039.1159544602851</v>
      </c>
      <c r="I14" s="54">
        <v>4150.2949867699608</v>
      </c>
      <c r="J14" s="54">
        <v>0.82361569455380368</v>
      </c>
      <c r="K14" s="54">
        <v>1.1432665688117025</v>
      </c>
      <c r="L14" s="54">
        <v>0.94161228913199424</v>
      </c>
      <c r="M14" s="366"/>
      <c r="P14" s="53"/>
      <c r="Q14" s="16"/>
      <c r="S14" s="292"/>
      <c r="T14" s="292"/>
    </row>
    <row r="15" spans="1:20">
      <c r="A15" s="19" t="e" vm="12">
        <v>#VALUE!</v>
      </c>
      <c r="B15" s="54">
        <v>575.85555077116078</v>
      </c>
      <c r="C15" s="54">
        <v>3.3660695771362823</v>
      </c>
      <c r="D15" s="282">
        <v>5541.9806753010234</v>
      </c>
      <c r="E15" s="54">
        <v>4050.8130714052841</v>
      </c>
      <c r="F15" s="54">
        <v>397.19386745020006</v>
      </c>
      <c r="G15" s="54">
        <v>-527.58383061384006</v>
      </c>
      <c r="H15" s="54">
        <v>6121.2022956493201</v>
      </c>
      <c r="I15" s="54">
        <v>3920.4231082416436</v>
      </c>
      <c r="J15" s="54">
        <v>0.64046618930207666</v>
      </c>
      <c r="K15" s="54">
        <v>0.73089318365491052</v>
      </c>
      <c r="L15" s="54">
        <v>0.46811237212232337</v>
      </c>
      <c r="M15" s="366"/>
      <c r="P15" s="53"/>
      <c r="Q15" s="16"/>
      <c r="S15" s="292"/>
      <c r="T15" s="292"/>
    </row>
    <row r="16" spans="1:20">
      <c r="A16" s="19" t="e" vm="13">
        <v>#VALUE!</v>
      </c>
      <c r="B16" s="54">
        <v>575.85555077116078</v>
      </c>
      <c r="C16" s="54">
        <v>3.3660695771362823</v>
      </c>
      <c r="D16" s="282">
        <v>5834.12125821889</v>
      </c>
      <c r="E16" s="54">
        <v>3316.3502055417612</v>
      </c>
      <c r="F16" s="54">
        <v>204.61747570947719</v>
      </c>
      <c r="G16" s="54">
        <v>-527.58383061384006</v>
      </c>
      <c r="H16" s="54">
        <v>6413.3428785671867</v>
      </c>
      <c r="I16" s="54">
        <v>2993.3838506373986</v>
      </c>
      <c r="J16" s="54">
        <v>0.46674314898101227</v>
      </c>
      <c r="K16" s="54">
        <v>0.77291959038319435</v>
      </c>
      <c r="L16" s="54">
        <v>0.36075492352456628</v>
      </c>
      <c r="M16" s="366"/>
      <c r="P16" s="53"/>
      <c r="Q16" s="16"/>
      <c r="S16" s="292"/>
      <c r="T16" s="292"/>
    </row>
    <row r="17" spans="1:20">
      <c r="A17" s="19" t="e" vm="14">
        <v>#VALUE!</v>
      </c>
      <c r="B17" s="54">
        <v>575.85555077116078</v>
      </c>
      <c r="C17" s="54">
        <v>3.3660695771362823</v>
      </c>
      <c r="D17" s="282">
        <v>10707.09766052445</v>
      </c>
      <c r="E17" s="54">
        <v>5589.150549155137</v>
      </c>
      <c r="F17" s="54">
        <v>169.85714167635712</v>
      </c>
      <c r="G17" s="54">
        <v>-527.58383061384006</v>
      </c>
      <c r="H17" s="54">
        <v>11286.319280872747</v>
      </c>
      <c r="I17" s="54">
        <v>5231.4238602176538</v>
      </c>
      <c r="J17" s="54">
        <v>0.46351903840639169</v>
      </c>
      <c r="K17" s="54">
        <v>0.6308563175490155</v>
      </c>
      <c r="L17" s="54">
        <v>0.29241391368291697</v>
      </c>
      <c r="M17" s="366"/>
      <c r="P17" s="53"/>
      <c r="Q17" s="16"/>
      <c r="S17" s="292"/>
      <c r="T17" s="292"/>
    </row>
    <row r="18" spans="1:20">
      <c r="A18" s="19" t="e" vm="15">
        <v>#VALUE!</v>
      </c>
      <c r="B18" s="54">
        <v>575.85555077116078</v>
      </c>
      <c r="C18" s="54">
        <v>3.3660695771362823</v>
      </c>
      <c r="D18" s="282">
        <v>3355.2607801788363</v>
      </c>
      <c r="E18" s="54">
        <v>4351.2296572155719</v>
      </c>
      <c r="F18" s="54">
        <v>1282.8906809755103</v>
      </c>
      <c r="G18" s="54">
        <v>-527.58383061384006</v>
      </c>
      <c r="H18" s="54">
        <v>3934.4824005271334</v>
      </c>
      <c r="I18" s="54">
        <v>5106.5365075772415</v>
      </c>
      <c r="J18" s="54">
        <v>1.2978928325853176</v>
      </c>
      <c r="K18" s="54">
        <v>1.2147785475690946</v>
      </c>
      <c r="L18" s="54">
        <v>1.5766523700683304</v>
      </c>
      <c r="P18" s="53"/>
      <c r="Q18" s="16"/>
      <c r="S18" s="292"/>
      <c r="T18" s="292"/>
    </row>
    <row r="19" spans="1:20">
      <c r="A19" s="107" t="s">
        <v>585</v>
      </c>
      <c r="B19" s="326"/>
      <c r="C19" s="326"/>
      <c r="D19" s="325"/>
      <c r="E19" s="326"/>
      <c r="F19" s="326"/>
      <c r="G19" s="326"/>
      <c r="H19" s="326"/>
      <c r="I19" s="326"/>
      <c r="J19" s="326"/>
      <c r="K19" s="326"/>
      <c r="L19" s="326"/>
      <c r="M19" s="366"/>
      <c r="P19" s="53"/>
      <c r="Q19" s="16"/>
      <c r="S19" s="292"/>
      <c r="T19" s="292"/>
    </row>
    <row r="20" spans="1:20" ht="17">
      <c r="A20" s="66" t="e" vm="16">
        <v>#VALUE!</v>
      </c>
      <c r="B20" s="54">
        <v>575.85555077116078</v>
      </c>
      <c r="C20" s="54">
        <v>3.3660695771362823</v>
      </c>
      <c r="D20" s="282">
        <v>4677.1141659896502</v>
      </c>
      <c r="E20" s="54">
        <v>2455.1037871592116</v>
      </c>
      <c r="F20" s="54">
        <v>430.06261876622068</v>
      </c>
      <c r="G20" s="54">
        <v>-527.58383061384006</v>
      </c>
      <c r="H20" s="54">
        <v>5256.335786337947</v>
      </c>
      <c r="I20" s="54">
        <v>2357.5825753115923</v>
      </c>
      <c r="J20" s="54">
        <v>0.4485220638756231</v>
      </c>
      <c r="K20" s="54">
        <v>1.0270361710207143</v>
      </c>
      <c r="L20" s="54">
        <v>0.46064838310112827</v>
      </c>
      <c r="M20" s="366"/>
      <c r="P20" s="53"/>
      <c r="Q20" s="16"/>
      <c r="S20" s="292"/>
      <c r="T20" s="292"/>
    </row>
    <row r="21" spans="1:20" ht="17">
      <c r="A21" s="66" t="e" vm="17">
        <v>#VALUE!</v>
      </c>
      <c r="B21" s="54">
        <v>575.85555077116078</v>
      </c>
      <c r="C21" s="54">
        <v>3.3660695771362823</v>
      </c>
      <c r="D21" s="282">
        <v>5021.209949677961</v>
      </c>
      <c r="E21" s="54">
        <v>2519.925628331629</v>
      </c>
      <c r="F21" s="54">
        <v>329.66296363823619</v>
      </c>
      <c r="G21" s="54">
        <v>-527.58383061384006</v>
      </c>
      <c r="H21" s="54">
        <v>5600.4315700262578</v>
      </c>
      <c r="I21" s="54">
        <v>2322.0047613560255</v>
      </c>
      <c r="J21" s="54">
        <v>0.41461175488394347</v>
      </c>
      <c r="K21" s="54">
        <v>0.98420753469290612</v>
      </c>
      <c r="L21" s="54">
        <v>0.40806401312902552</v>
      </c>
      <c r="M21" s="366"/>
      <c r="P21" s="53"/>
      <c r="Q21" s="16"/>
      <c r="S21" s="292"/>
      <c r="T21" s="292"/>
    </row>
    <row r="22" spans="1:20">
      <c r="A22" s="87" t="e" vm="18">
        <v>#VALUE!</v>
      </c>
      <c r="B22" s="54">
        <v>575.85555077116078</v>
      </c>
      <c r="C22" s="54">
        <v>3.3660695771362823</v>
      </c>
      <c r="D22" s="282">
        <v>3824.2513685953727</v>
      </c>
      <c r="E22" s="54">
        <v>2435.0869498058833</v>
      </c>
      <c r="F22" s="54">
        <v>365.75322790806354</v>
      </c>
      <c r="G22" s="54">
        <v>-527.58383061384006</v>
      </c>
      <c r="H22" s="54">
        <v>4403.4729889436694</v>
      </c>
      <c r="I22" s="54">
        <v>2273.2563471001067</v>
      </c>
      <c r="J22" s="54">
        <v>0.51624169213887439</v>
      </c>
      <c r="K22" s="54">
        <v>1.1581574836013477</v>
      </c>
      <c r="L22" s="54">
        <v>0.59788917909766037</v>
      </c>
      <c r="M22" s="366"/>
      <c r="P22" s="53"/>
      <c r="Q22" s="16"/>
      <c r="S22" s="292"/>
      <c r="T22" s="292"/>
    </row>
    <row r="23" spans="1:20">
      <c r="A23" s="63" t="e" vm="19">
        <v>#VALUE!</v>
      </c>
      <c r="B23" s="54">
        <v>575.85555077116078</v>
      </c>
      <c r="C23" s="54">
        <v>3.3660695771362823</v>
      </c>
      <c r="D23" s="282">
        <v>6813.3240884105717</v>
      </c>
      <c r="E23" s="54">
        <v>2542.0644378314214</v>
      </c>
      <c r="F23" s="54">
        <v>179.55314611174384</v>
      </c>
      <c r="G23" s="54">
        <v>-527.58383061384006</v>
      </c>
      <c r="H23" s="54">
        <v>7392.5457087588684</v>
      </c>
      <c r="I23" s="54">
        <v>2194.033753329325</v>
      </c>
      <c r="J23" s="54">
        <v>0.29679001520812787</v>
      </c>
      <c r="K23" s="54">
        <v>0.81626896857841424</v>
      </c>
      <c r="L23" s="54">
        <v>0.24226047959831043</v>
      </c>
      <c r="M23" s="366"/>
      <c r="P23" s="53"/>
      <c r="Q23" s="16"/>
      <c r="S23" s="292"/>
      <c r="T23" s="292"/>
    </row>
    <row r="24" spans="1:20">
      <c r="A24" s="63" t="e" vm="20">
        <v>#VALUE!</v>
      </c>
      <c r="B24" s="54">
        <v>575.85555077116078</v>
      </c>
      <c r="C24" s="54">
        <v>3.3660695771362823</v>
      </c>
      <c r="D24" s="282">
        <v>5213.1686654181285</v>
      </c>
      <c r="E24" s="54">
        <v>2518.1799108885639</v>
      </c>
      <c r="F24" s="54">
        <v>323.67344660771244</v>
      </c>
      <c r="G24" s="54">
        <v>-527.58383061384006</v>
      </c>
      <c r="H24" s="54">
        <v>5792.3902857664252</v>
      </c>
      <c r="I24" s="54">
        <v>2314.2695268824364</v>
      </c>
      <c r="J24" s="54">
        <v>0.39953618673956837</v>
      </c>
      <c r="K24" s="54">
        <v>0.99099129346515591</v>
      </c>
      <c r="L24" s="54">
        <v>0.39593688248318093</v>
      </c>
      <c r="M24" s="366"/>
      <c r="O24" s="54"/>
      <c r="P24" s="53"/>
      <c r="Q24" s="16"/>
      <c r="S24" s="292"/>
      <c r="T24" s="292"/>
    </row>
    <row r="25" spans="1:20" ht="17">
      <c r="A25" s="66" t="e" vm="21">
        <v>#VALUE!</v>
      </c>
      <c r="B25" s="54">
        <v>575.85555077116078</v>
      </c>
      <c r="C25" s="54">
        <v>3.3660695771362823</v>
      </c>
      <c r="D25" s="282">
        <v>5136.4022003921427</v>
      </c>
      <c r="E25" s="54">
        <v>2505.3394245932059</v>
      </c>
      <c r="F25" s="54">
        <v>335.57056689583669</v>
      </c>
      <c r="G25" s="54">
        <v>-527.58383061384006</v>
      </c>
      <c r="H25" s="54">
        <v>5715.6238207404394</v>
      </c>
      <c r="I25" s="54">
        <v>2313.3261608752027</v>
      </c>
      <c r="J25" s="54">
        <v>0.40473730137395908</v>
      </c>
      <c r="K25" s="54">
        <v>0.94254991791600506</v>
      </c>
      <c r="L25" s="54">
        <v>0.38148511018757053</v>
      </c>
      <c r="M25" s="366"/>
      <c r="P25" s="53"/>
      <c r="Q25" s="16"/>
      <c r="S25" s="292"/>
      <c r="T25" s="292"/>
    </row>
    <row r="26" spans="1:20">
      <c r="A26" s="63" t="e" vm="22">
        <v>#VALUE!</v>
      </c>
      <c r="B26" s="54">
        <v>575.85555077116078</v>
      </c>
      <c r="C26" s="54">
        <v>3.3660695771362823</v>
      </c>
      <c r="D26" s="282">
        <v>4313.7528133915603</v>
      </c>
      <c r="E26" s="54">
        <v>2436.8636690360845</v>
      </c>
      <c r="F26" s="54">
        <v>344.2283328667454</v>
      </c>
      <c r="G26" s="54">
        <v>-527.58383061384006</v>
      </c>
      <c r="H26" s="54">
        <v>4892.974433739857</v>
      </c>
      <c r="I26" s="54">
        <v>2253.5081712889896</v>
      </c>
      <c r="J26" s="54">
        <v>0.46055997263132259</v>
      </c>
      <c r="K26" s="54">
        <v>0.99236138228591131</v>
      </c>
      <c r="L26" s="54">
        <v>0.45704193106598079</v>
      </c>
      <c r="M26" s="366"/>
      <c r="O26" s="54"/>
      <c r="P26" s="53"/>
      <c r="Q26" s="16"/>
      <c r="S26" s="292"/>
      <c r="T26" s="292"/>
    </row>
    <row r="27" spans="1:20">
      <c r="A27" s="63" t="e" vm="23">
        <v>#VALUE!</v>
      </c>
      <c r="B27" s="54">
        <v>575.85555077116078</v>
      </c>
      <c r="C27" s="54">
        <v>3.3660695771362823</v>
      </c>
      <c r="D27" s="282">
        <v>5268.9176931840393</v>
      </c>
      <c r="E27" s="54">
        <v>2460.2320403006584</v>
      </c>
      <c r="F27" s="54">
        <v>309.46325106061511</v>
      </c>
      <c r="G27" s="54">
        <v>-527.58383061384006</v>
      </c>
      <c r="H27" s="54">
        <v>5848.139313532336</v>
      </c>
      <c r="I27" s="54">
        <v>2242.1114607474337</v>
      </c>
      <c r="J27" s="54">
        <v>0.38338885935211681</v>
      </c>
      <c r="K27" s="54">
        <v>1.049083676517905</v>
      </c>
      <c r="L27" s="54">
        <v>0.40220699410512467</v>
      </c>
      <c r="M27" s="366"/>
      <c r="P27" s="53"/>
      <c r="Q27" s="16"/>
      <c r="S27" s="292"/>
      <c r="T27" s="292"/>
    </row>
    <row r="28" spans="1:20">
      <c r="A28" s="63" t="e" vm="24">
        <v>#VALUE!</v>
      </c>
      <c r="B28" s="54">
        <v>575.85555077116078</v>
      </c>
      <c r="C28" s="54">
        <v>3.3660695771362823</v>
      </c>
      <c r="D28" s="282">
        <v>3198.6415029045047</v>
      </c>
      <c r="E28" s="54">
        <v>2459.616640847576</v>
      </c>
      <c r="F28" s="54">
        <v>692.21242954866943</v>
      </c>
      <c r="G28" s="54">
        <v>-527.58383061384006</v>
      </c>
      <c r="H28" s="54">
        <v>3777.8631232528019</v>
      </c>
      <c r="I28" s="54">
        <v>2624.2452397824054</v>
      </c>
      <c r="J28" s="54">
        <v>0.69463745884019412</v>
      </c>
      <c r="K28" s="54">
        <v>1.4286749822779325</v>
      </c>
      <c r="L28" s="54">
        <v>0.99241115919810241</v>
      </c>
      <c r="M28" s="366"/>
      <c r="O28" s="53"/>
      <c r="P28" s="53"/>
      <c r="Q28" s="16"/>
      <c r="S28" s="292"/>
      <c r="T28" s="292"/>
    </row>
    <row r="29" spans="1:20">
      <c r="A29" s="63" t="e" vm="25">
        <v>#VALUE!</v>
      </c>
      <c r="B29" s="54">
        <v>575.85555077116078</v>
      </c>
      <c r="C29" s="54">
        <v>3.3660695771362823</v>
      </c>
      <c r="D29" s="282">
        <v>7078.6535396639065</v>
      </c>
      <c r="E29" s="54">
        <v>2499.3916092355498</v>
      </c>
      <c r="F29" s="54">
        <v>226.09117341310446</v>
      </c>
      <c r="G29" s="54">
        <v>-527.58383061384006</v>
      </c>
      <c r="H29" s="54">
        <v>7657.8751600122032</v>
      </c>
      <c r="I29" s="54">
        <v>2197.8989520348141</v>
      </c>
      <c r="J29" s="54">
        <v>0.28701159343936233</v>
      </c>
      <c r="K29" s="54">
        <v>0.84329322070777535</v>
      </c>
      <c r="L29" s="54">
        <v>0.24203493101195045</v>
      </c>
      <c r="M29" s="366"/>
      <c r="P29" s="53"/>
      <c r="Q29" s="16"/>
      <c r="S29" s="292"/>
      <c r="T29" s="292"/>
    </row>
    <row r="30" spans="1:20">
      <c r="A30" s="63" t="e" vm="26">
        <v>#VALUE!</v>
      </c>
      <c r="B30" s="54">
        <v>575.85555077116078</v>
      </c>
      <c r="C30" s="54">
        <v>3.3660695771362823</v>
      </c>
      <c r="D30" s="282">
        <v>3573.8375171197886</v>
      </c>
      <c r="E30" s="54">
        <v>2436.7190073709448</v>
      </c>
      <c r="F30" s="54">
        <v>695.23775021757194</v>
      </c>
      <c r="G30" s="54">
        <v>-527.58383061384006</v>
      </c>
      <c r="H30" s="54">
        <v>4153.0591374680853</v>
      </c>
      <c r="I30" s="54">
        <v>2604.3729269746764</v>
      </c>
      <c r="J30" s="54">
        <v>0.62709748182455061</v>
      </c>
      <c r="K30" s="54">
        <v>1.2504990146186012</v>
      </c>
      <c r="L30" s="54">
        <v>0.78418478309140682</v>
      </c>
      <c r="M30" s="366"/>
      <c r="P30" s="53"/>
      <c r="Q30" s="16"/>
      <c r="S30" s="292"/>
      <c r="T30" s="292"/>
    </row>
    <row r="31" spans="1:20">
      <c r="A31" s="63" t="e" vm="27">
        <v>#VALUE!</v>
      </c>
      <c r="B31" s="54">
        <v>575.85555077116078</v>
      </c>
      <c r="C31" s="54">
        <v>3.3660695771362823</v>
      </c>
      <c r="D31" s="282">
        <v>5977.7280303818825</v>
      </c>
      <c r="E31" s="54">
        <v>2489.0642318122514</v>
      </c>
      <c r="F31" s="54">
        <v>278.6377652900677</v>
      </c>
      <c r="G31" s="54">
        <v>-527.58383061384006</v>
      </c>
      <c r="H31" s="54">
        <v>6556.9496507301792</v>
      </c>
      <c r="I31" s="54">
        <v>2240.1181664884789</v>
      </c>
      <c r="J31" s="54">
        <v>0.34164028791025114</v>
      </c>
      <c r="K31" s="54">
        <v>0.88667271211028842</v>
      </c>
      <c r="L31" s="54">
        <v>0.30292312064752214</v>
      </c>
      <c r="M31" s="366"/>
      <c r="P31" s="53"/>
      <c r="Q31" s="16"/>
      <c r="S31" s="292"/>
      <c r="T31" s="292"/>
    </row>
    <row r="32" spans="1:20">
      <c r="A32" s="63" t="e" vm="28">
        <v>#VALUE!</v>
      </c>
      <c r="B32" s="54">
        <v>575.85555077116078</v>
      </c>
      <c r="C32" s="54">
        <v>3.3660695771362823</v>
      </c>
      <c r="D32" s="282">
        <v>4020.5161441120663</v>
      </c>
      <c r="E32" s="54">
        <v>2439.9007498529991</v>
      </c>
      <c r="F32" s="54">
        <v>558.4142765223603</v>
      </c>
      <c r="G32" s="54">
        <v>-527.58383061384006</v>
      </c>
      <c r="H32" s="54">
        <v>4599.737764460363</v>
      </c>
      <c r="I32" s="54">
        <v>2470.7311957615193</v>
      </c>
      <c r="J32" s="54">
        <v>0.53714609881708841</v>
      </c>
      <c r="K32" s="54">
        <v>1.1970131660171848</v>
      </c>
      <c r="L32" s="54">
        <v>0.64297095235882262</v>
      </c>
      <c r="M32" s="366"/>
      <c r="P32" s="53"/>
      <c r="Q32" s="16"/>
      <c r="S32" s="292"/>
      <c r="T32" s="292"/>
    </row>
    <row r="33" spans="1:20">
      <c r="A33" s="63" t="e" vm="29">
        <v>#VALUE!</v>
      </c>
      <c r="B33" s="54">
        <v>575.85555077116078</v>
      </c>
      <c r="C33" s="54">
        <v>3.3660695771362823</v>
      </c>
      <c r="D33" s="282">
        <v>4781.423498403954</v>
      </c>
      <c r="E33" s="54">
        <v>2505.1574381442852</v>
      </c>
      <c r="F33" s="54">
        <v>315.9449795317247</v>
      </c>
      <c r="G33" s="54">
        <v>-527.58383061384006</v>
      </c>
      <c r="H33" s="54">
        <v>5360.6451187522507</v>
      </c>
      <c r="I33" s="54">
        <v>2293.5185870621699</v>
      </c>
      <c r="J33" s="54">
        <v>0.42784376437066063</v>
      </c>
      <c r="K33" s="54">
        <v>1.0085964623317036</v>
      </c>
      <c r="L33" s="54">
        <v>0.43152170717492727</v>
      </c>
      <c r="M33" s="366"/>
      <c r="P33" s="53"/>
      <c r="Q33" s="16"/>
      <c r="S33" s="292"/>
      <c r="T33" s="292"/>
    </row>
    <row r="34" spans="1:20">
      <c r="A34" s="63" t="e" vm="30">
        <v>#VALUE!</v>
      </c>
      <c r="B34" s="54">
        <v>575.85555077116078</v>
      </c>
      <c r="C34" s="54">
        <v>3.3660695771362823</v>
      </c>
      <c r="D34" s="282">
        <v>4795.9303343690781</v>
      </c>
      <c r="E34" s="54">
        <v>2473.4314133668904</v>
      </c>
      <c r="F34" s="54">
        <v>360.1908775503066</v>
      </c>
      <c r="G34" s="54">
        <v>-527.58383061384006</v>
      </c>
      <c r="H34" s="54">
        <v>5375.1519547173748</v>
      </c>
      <c r="I34" s="54">
        <v>2306.0384603033572</v>
      </c>
      <c r="J34" s="54">
        <v>0.42901828259562358</v>
      </c>
      <c r="K34" s="54">
        <v>1.172710885796536</v>
      </c>
      <c r="L34" s="54">
        <v>0.50311441020562231</v>
      </c>
      <c r="M34" s="366"/>
      <c r="P34" s="53"/>
      <c r="Q34" s="16"/>
      <c r="S34" s="292"/>
      <c r="T34" s="292"/>
    </row>
    <row r="35" spans="1:20">
      <c r="A35" s="63" t="e" vm="31">
        <v>#VALUE!</v>
      </c>
      <c r="B35" s="54">
        <v>575.85555077116078</v>
      </c>
      <c r="C35" s="54">
        <v>3.3660695771362823</v>
      </c>
      <c r="D35" s="282">
        <v>3704.4488864246619</v>
      </c>
      <c r="E35" s="54">
        <v>2484.6154179788828</v>
      </c>
      <c r="F35" s="54">
        <v>396.40505965827344</v>
      </c>
      <c r="G35" s="54">
        <v>-527.58383061384006</v>
      </c>
      <c r="H35" s="54">
        <v>4283.670506772959</v>
      </c>
      <c r="I35" s="54">
        <v>2353.4366470233163</v>
      </c>
      <c r="J35" s="54">
        <v>0.54939721514581275</v>
      </c>
      <c r="K35" s="54">
        <v>1.0592379950632587</v>
      </c>
      <c r="L35" s="54">
        <v>0.58194240466438851</v>
      </c>
      <c r="M35" s="366"/>
      <c r="P35" s="53"/>
      <c r="Q35" s="16"/>
      <c r="S35" s="292"/>
      <c r="T35" s="292"/>
    </row>
    <row r="36" spans="1:20">
      <c r="A36" s="63" t="e" vm="32">
        <v>#VALUE!</v>
      </c>
      <c r="B36" s="54">
        <v>575.85555077116078</v>
      </c>
      <c r="C36" s="54">
        <v>3.3660695771362823</v>
      </c>
      <c r="D36" s="282">
        <v>4332.1273569914783</v>
      </c>
      <c r="E36" s="54">
        <v>2442.6059360012046</v>
      </c>
      <c r="F36" s="54">
        <v>392.10057610731837</v>
      </c>
      <c r="G36" s="54">
        <v>-527.58383061384006</v>
      </c>
      <c r="H36" s="54">
        <v>4911.348977339775</v>
      </c>
      <c r="I36" s="54">
        <v>2307.1226814946831</v>
      </c>
      <c r="J36" s="54">
        <v>0.46975335944144875</v>
      </c>
      <c r="K36" s="54">
        <v>1.0142687039455363</v>
      </c>
      <c r="L36" s="54">
        <v>0.47645613105473988</v>
      </c>
      <c r="M36" s="366"/>
    </row>
    <row r="37" spans="1:20">
      <c r="A37" s="63" t="e" vm="33">
        <v>#VALUE!</v>
      </c>
      <c r="B37" s="54">
        <v>575.85555077116078</v>
      </c>
      <c r="C37" s="54">
        <v>3.3660695771362823</v>
      </c>
      <c r="D37" s="282">
        <v>3292.659316514505</v>
      </c>
      <c r="E37" s="54">
        <v>2782.0877083344826</v>
      </c>
      <c r="F37" s="54">
        <v>696.39850599462011</v>
      </c>
      <c r="G37" s="54">
        <v>-527.58383061384006</v>
      </c>
      <c r="H37" s="54">
        <v>3871.8809368628022</v>
      </c>
      <c r="I37" s="54">
        <v>2950.9023837152627</v>
      </c>
      <c r="J37" s="54">
        <v>0.76213665446702406</v>
      </c>
      <c r="K37" s="54">
        <v>1.1736159143623963</v>
      </c>
      <c r="L37" s="54">
        <v>0.89445570660141405</v>
      </c>
      <c r="M37" s="366"/>
      <c r="N37" s="21"/>
      <c r="O37" s="21"/>
      <c r="P37" s="53"/>
      <c r="Q37" s="16"/>
    </row>
    <row r="38" spans="1:20">
      <c r="A38" s="63" t="e" vm="34">
        <v>#VALUE!</v>
      </c>
      <c r="B38" s="54">
        <v>575.85555077116078</v>
      </c>
      <c r="C38" s="54">
        <v>3.3660695771362823</v>
      </c>
      <c r="D38" s="282">
        <v>4058.4711081503874</v>
      </c>
      <c r="E38" s="54">
        <v>2426.7935037918874</v>
      </c>
      <c r="F38" s="54">
        <v>363.76779401251702</v>
      </c>
      <c r="G38" s="54">
        <v>-527.58383061384006</v>
      </c>
      <c r="H38" s="54">
        <v>4637.6927284986841</v>
      </c>
      <c r="I38" s="54">
        <v>2262.9774671905643</v>
      </c>
      <c r="J38" s="54">
        <v>0.48795329912319058</v>
      </c>
      <c r="K38" s="54">
        <v>1.1053312980139871</v>
      </c>
      <c r="L38" s="54">
        <v>0.5393500534900435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33</vt:i4>
      </vt:variant>
    </vt:vector>
  </HeadingPairs>
  <TitlesOfParts>
    <vt:vector size="33" baseType="lpstr">
      <vt:lpstr>Bienvenue</vt:lpstr>
      <vt:lpstr>Table des matières</vt:lpstr>
      <vt:lpstr>Résultats finaux - PAR PERSONNE</vt:lpstr>
      <vt:lpstr>Auto - résumé</vt:lpstr>
      <vt:lpstr>Auto - export</vt:lpstr>
      <vt:lpstr>Auto - fixe</vt:lpstr>
      <vt:lpstr>TC - résumé</vt:lpstr>
      <vt:lpstr>TC - export</vt:lpstr>
      <vt:lpstr>TC - fixe</vt:lpstr>
      <vt:lpstr>Vélo - résumé</vt:lpstr>
      <vt:lpstr>Vélo - export</vt:lpstr>
      <vt:lpstr>Vélo - fixe</vt:lpstr>
      <vt:lpstr>Marche - résumé</vt:lpstr>
      <vt:lpstr>Marche - export</vt:lpstr>
      <vt:lpstr>Marche - fixe</vt:lpstr>
      <vt:lpstr>Résultats - comparaison</vt:lpstr>
      <vt:lpstr>Distributions de coûts - graphs</vt:lpstr>
      <vt:lpstr>Résultat - projection</vt:lpstr>
      <vt:lpstr>Clés de répartition</vt:lpstr>
      <vt:lpstr>Privé - Achat&amp;Utilisation</vt:lpstr>
      <vt:lpstr>Privé - Contravention</vt:lpstr>
      <vt:lpstr>Privé - Temps</vt:lpstr>
      <vt:lpstr>Privé - Permis, etc</vt:lpstr>
      <vt:lpstr>Privé&amp;Indirect - ARTM</vt:lpstr>
      <vt:lpstr>Indirect - Budget VdeM</vt:lpstr>
      <vt:lpstr>Indirect - Villes</vt:lpstr>
      <vt:lpstr>Indirect - Prov. &amp; Féd.</vt:lpstr>
      <vt:lpstr>Caché - GES</vt:lpstr>
      <vt:lpstr>Caché - Congestion</vt:lpstr>
      <vt:lpstr>Caché - Santé</vt:lpstr>
      <vt:lpstr>Caché - Accident</vt:lpstr>
      <vt:lpstr>Caché - Emprise spatiale</vt:lpstr>
      <vt:lpstr>Fonctions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Gabrielle Beaudin</dc:creator>
  <cp:lastModifiedBy>Gabrielle Beaudin</cp:lastModifiedBy>
  <dcterms:created xsi:type="dcterms:W3CDTF">2024-02-21T15:39:10Z</dcterms:created>
  <dcterms:modified xsi:type="dcterms:W3CDTF">2024-05-28T14:22:25Z</dcterms:modified>
</cp:coreProperties>
</file>